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gif" ContentType="image/gif"/>
  <Default Extension="vml" ContentType="application/vnd.openxmlformats-officedocument.vmlDrawing"/>
  <Default Extension="tiff" ContentType="image/tif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omments4.xml" ContentType="application/vnd.openxmlformats-officedocument.spreadsheetml.comments+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120" yWindow="120" windowWidth="12168" windowHeight="5580"/>
  </bookViews>
  <sheets>
    <sheet name="Cover sheet" sheetId="12" r:id="rId1"/>
    <sheet name="Hardware" sheetId="1" r:id="rId2"/>
    <sheet name="Software" sheetId="2" r:id="rId3"/>
    <sheet name="Wireless" sheetId="4" r:id="rId4"/>
    <sheet name="Warranty" sheetId="7" r:id="rId5"/>
    <sheet name="HW Maintenance" sheetId="8" r:id="rId6"/>
    <sheet name="Estos_XCAPI" sheetId="6" r:id="rId7"/>
    <sheet name="Overview" sheetId="5" r:id="rId8"/>
    <sheet name="Customer Offer" sheetId="10" r:id="rId9"/>
    <sheet name="Marge Reseller" sheetId="11" r:id="rId10"/>
    <sheet name="Print View total" sheetId="14" r:id="rId11"/>
    <sheet name="Maintenance agreement" sheetId="13" r:id="rId12"/>
    <sheet name="Tabelle1" sheetId="15" r:id="rId13"/>
  </sheets>
  <definedNames>
    <definedName name="_xlnm.Print_Area" localSheetId="8">'Customer Offer'!$A$2:$F$74</definedName>
    <definedName name="_xlnm.Print_Area" localSheetId="6">Estos_XCAPI!$A$2:$G$37</definedName>
    <definedName name="_xlnm.Print_Area" localSheetId="1">Hardware!$D$78:$H$114</definedName>
    <definedName name="_xlnm.Print_Area" localSheetId="5">'HW Maintenance'!$A$31:$E$66</definedName>
    <definedName name="_xlnm.Print_Area" localSheetId="9">'Marge Reseller'!$A$2:$J$77</definedName>
    <definedName name="_xlnm.Print_Area" localSheetId="7">Overview!$A$2:$D$57</definedName>
    <definedName name="_xlnm.Print_Area" localSheetId="10">'Print View total'!$A$2:$E$248</definedName>
    <definedName name="_xlnm.Print_Area" localSheetId="2">Software!$C$48:$H$87</definedName>
    <definedName name="_xlnm.Print_Area" localSheetId="4">Warranty!$A$47:$G$114</definedName>
    <definedName name="_xlnm.Print_Area" localSheetId="3">Wireless!$B$73:$I$130</definedName>
    <definedName name="_xlnm.Print_Titles" localSheetId="8">'Customer Offer'!$18:$18</definedName>
    <definedName name="_xlnm.Print_Titles" localSheetId="1">Hardware!$78:$78</definedName>
    <definedName name="_xlnm.Print_Titles" localSheetId="5">'HW Maintenance'!$31:$31</definedName>
    <definedName name="_xlnm.Print_Titles" localSheetId="9">'Marge Reseller'!$21:$21</definedName>
    <definedName name="_xlnm.Print_Titles" localSheetId="10">'Print View total'!$2:$2</definedName>
    <definedName name="_xlnm.Print_Titles" localSheetId="2">Software!$48:$48</definedName>
    <definedName name="_xlnm.Print_Titles" localSheetId="4">Warranty!$47:$47</definedName>
    <definedName name="_xlnm.Print_Titles" localSheetId="3">Wireless!$73:$73</definedName>
  </definedNames>
  <calcPr calcId="145621"/>
</workbook>
</file>

<file path=xl/calcChain.xml><?xml version="1.0" encoding="utf-8"?>
<calcChain xmlns="http://schemas.openxmlformats.org/spreadsheetml/2006/main">
  <c r="A100" i="14" l="1"/>
  <c r="B100" i="14"/>
  <c r="C100" i="14"/>
  <c r="A99" i="14"/>
  <c r="B99" i="14"/>
  <c r="C99" i="14"/>
  <c r="H106" i="4"/>
  <c r="I106" i="4" s="1"/>
  <c r="E100" i="14" s="1"/>
  <c r="I36" i="4"/>
  <c r="H105" i="4"/>
  <c r="I105" i="4" s="1"/>
  <c r="E99" i="14" s="1"/>
  <c r="I35" i="4"/>
  <c r="A97" i="14"/>
  <c r="B97" i="14"/>
  <c r="C97" i="14"/>
  <c r="H103" i="4"/>
  <c r="D97" i="14" s="1"/>
  <c r="I33" i="4"/>
  <c r="A95" i="14"/>
  <c r="B95" i="14"/>
  <c r="C95" i="14"/>
  <c r="D95" i="14"/>
  <c r="H101" i="4"/>
  <c r="I101" i="4" s="1"/>
  <c r="E95" i="14" s="1"/>
  <c r="I31" i="4"/>
  <c r="I103" i="4" l="1"/>
  <c r="E97" i="14" s="1"/>
  <c r="D100" i="14"/>
  <c r="D99" i="14"/>
  <c r="C15" i="11"/>
  <c r="C14" i="11"/>
  <c r="C13" i="11"/>
  <c r="A15" i="11"/>
  <c r="A14" i="11"/>
  <c r="A13" i="11"/>
  <c r="C19" i="11" l="1"/>
  <c r="G60" i="1" l="1"/>
  <c r="G59" i="1"/>
  <c r="E74" i="11" l="1"/>
  <c r="F74" i="11" s="1"/>
  <c r="C20" i="10" l="1"/>
  <c r="C24" i="11"/>
  <c r="E24" i="11"/>
  <c r="G24" i="11"/>
  <c r="C21" i="10"/>
  <c r="G58" i="1" l="1"/>
  <c r="A127" i="14" l="1"/>
  <c r="B127" i="14"/>
  <c r="C127" i="14"/>
  <c r="A69" i="11" l="1"/>
  <c r="A75" i="11"/>
  <c r="A68" i="11"/>
  <c r="A64" i="11"/>
  <c r="A58" i="11"/>
  <c r="A52" i="11"/>
  <c r="A50" i="11"/>
  <c r="A43" i="11"/>
  <c r="A33" i="11"/>
  <c r="A28" i="11"/>
  <c r="A65" i="10"/>
  <c r="A61" i="10"/>
  <c r="A55" i="10"/>
  <c r="A49" i="10"/>
  <c r="A47" i="10"/>
  <c r="A40" i="10"/>
  <c r="A30" i="10"/>
  <c r="A25" i="10"/>
  <c r="F110" i="7" l="1"/>
  <c r="F81" i="7"/>
  <c r="F82" i="7"/>
  <c r="F83" i="7"/>
  <c r="F84" i="7"/>
  <c r="F85" i="7"/>
  <c r="F86" i="7"/>
  <c r="F87" i="7"/>
  <c r="F88" i="7"/>
  <c r="F89" i="7"/>
  <c r="F90" i="7"/>
  <c r="F91" i="7"/>
  <c r="F92" i="7"/>
  <c r="F93" i="7"/>
  <c r="F94" i="7"/>
  <c r="F95" i="7"/>
  <c r="F96" i="7"/>
  <c r="F97" i="7"/>
  <c r="F98" i="7"/>
  <c r="F99" i="7"/>
  <c r="F100" i="7"/>
  <c r="F101" i="7"/>
  <c r="F102" i="7"/>
  <c r="F103" i="7"/>
  <c r="F104" i="7"/>
  <c r="F105" i="7"/>
  <c r="F106" i="7"/>
  <c r="F107" i="7"/>
  <c r="F108" i="7"/>
  <c r="F109" i="7"/>
  <c r="F80" i="7"/>
  <c r="F78" i="7"/>
  <c r="F50" i="7"/>
  <c r="D127" i="14" s="1"/>
  <c r="F51" i="7"/>
  <c r="F52" i="7"/>
  <c r="F53" i="7"/>
  <c r="F54" i="7"/>
  <c r="F55" i="7"/>
  <c r="F56" i="7"/>
  <c r="F57" i="7"/>
  <c r="F58" i="7"/>
  <c r="F59" i="7"/>
  <c r="F60" i="7"/>
  <c r="F61" i="7"/>
  <c r="F62" i="7"/>
  <c r="F63" i="7"/>
  <c r="F64" i="7"/>
  <c r="F65" i="7"/>
  <c r="F66" i="7"/>
  <c r="F67" i="7"/>
  <c r="F68" i="7"/>
  <c r="F69" i="7"/>
  <c r="F70" i="7"/>
  <c r="F71" i="7"/>
  <c r="F72" i="7"/>
  <c r="F73" i="7"/>
  <c r="F74" i="7"/>
  <c r="F75" i="7"/>
  <c r="F76" i="7"/>
  <c r="F77" i="7"/>
  <c r="F49" i="7"/>
  <c r="F48" i="7"/>
  <c r="E41" i="7"/>
  <c r="E12" i="7"/>
  <c r="E13" i="7"/>
  <c r="E14" i="7"/>
  <c r="E15" i="7"/>
  <c r="E16" i="7"/>
  <c r="E17" i="7"/>
  <c r="E18" i="7"/>
  <c r="E19" i="7"/>
  <c r="E20" i="7"/>
  <c r="E21" i="7"/>
  <c r="E22" i="7"/>
  <c r="E23" i="7"/>
  <c r="E24" i="7"/>
  <c r="E25" i="7"/>
  <c r="E26" i="7"/>
  <c r="E27" i="7"/>
  <c r="E28" i="7"/>
  <c r="E29" i="7"/>
  <c r="E30" i="7"/>
  <c r="E31" i="7"/>
  <c r="E32" i="7"/>
  <c r="E33" i="7"/>
  <c r="E34" i="7"/>
  <c r="E35" i="7"/>
  <c r="E36" i="7"/>
  <c r="E37" i="7"/>
  <c r="E38" i="7"/>
  <c r="E39" i="7"/>
  <c r="E40" i="7"/>
  <c r="E11" i="7"/>
  <c r="G113" i="1"/>
  <c r="K85" i="2"/>
  <c r="G6" i="2" l="1"/>
  <c r="F62" i="1"/>
  <c r="F11" i="2"/>
  <c r="G64" i="2" s="1"/>
  <c r="G110" i="1"/>
  <c r="G19" i="2" l="1"/>
  <c r="G30" i="2"/>
  <c r="G22" i="2"/>
  <c r="A200" i="14" l="1"/>
  <c r="B200" i="14"/>
  <c r="C200" i="14"/>
  <c r="A201" i="14"/>
  <c r="B201" i="14"/>
  <c r="C201" i="14"/>
  <c r="A202" i="14"/>
  <c r="B202" i="14"/>
  <c r="C202" i="14"/>
  <c r="A203" i="14"/>
  <c r="B203" i="14"/>
  <c r="C203" i="14"/>
  <c r="A204" i="14"/>
  <c r="B204" i="14"/>
  <c r="C204" i="14"/>
  <c r="A205" i="14"/>
  <c r="B205" i="14"/>
  <c r="C205" i="14"/>
  <c r="A206" i="14"/>
  <c r="B206" i="14"/>
  <c r="C206" i="14"/>
  <c r="A207" i="14"/>
  <c r="B207" i="14"/>
  <c r="C207" i="14"/>
  <c r="A208" i="14"/>
  <c r="B208" i="14"/>
  <c r="C208" i="14"/>
  <c r="A209" i="14"/>
  <c r="B209" i="14"/>
  <c r="C209" i="14"/>
  <c r="A210" i="14"/>
  <c r="B210" i="14"/>
  <c r="C210" i="14"/>
  <c r="A211" i="14"/>
  <c r="B211" i="14"/>
  <c r="C211" i="14"/>
  <c r="A212" i="14"/>
  <c r="B212" i="14"/>
  <c r="C212" i="14"/>
  <c r="A213" i="14"/>
  <c r="B213" i="14"/>
  <c r="C213" i="14"/>
  <c r="A214" i="14"/>
  <c r="B214" i="14"/>
  <c r="C214" i="14"/>
  <c r="A215" i="14"/>
  <c r="B215" i="14"/>
  <c r="C215" i="14"/>
  <c r="A216" i="14"/>
  <c r="B216" i="14"/>
  <c r="C216" i="14"/>
  <c r="A217" i="14"/>
  <c r="B217" i="14"/>
  <c r="C217" i="14"/>
  <c r="A218" i="14"/>
  <c r="B218" i="14"/>
  <c r="C218" i="14"/>
  <c r="A219" i="14"/>
  <c r="B219" i="14"/>
  <c r="C219" i="14"/>
  <c r="A220" i="14"/>
  <c r="B220" i="14"/>
  <c r="C220" i="14"/>
  <c r="A221" i="14"/>
  <c r="B221" i="14"/>
  <c r="C221" i="14"/>
  <c r="A190" i="14"/>
  <c r="B190" i="14"/>
  <c r="C190" i="14"/>
  <c r="A191" i="14"/>
  <c r="B191" i="14"/>
  <c r="C191" i="14"/>
  <c r="A192" i="14"/>
  <c r="B192" i="14"/>
  <c r="C192" i="14"/>
  <c r="A193" i="14"/>
  <c r="B193" i="14"/>
  <c r="C193" i="14"/>
  <c r="A194" i="14"/>
  <c r="B194" i="14"/>
  <c r="C194" i="14"/>
  <c r="A195" i="14"/>
  <c r="B195" i="14"/>
  <c r="C195" i="14"/>
  <c r="A196" i="14"/>
  <c r="B196" i="14"/>
  <c r="C196" i="14"/>
  <c r="A197" i="14"/>
  <c r="B197" i="14"/>
  <c r="C197" i="14"/>
  <c r="A198" i="14"/>
  <c r="B198" i="14"/>
  <c r="C198" i="14"/>
  <c r="A199" i="14"/>
  <c r="B199" i="14"/>
  <c r="C199" i="14"/>
  <c r="C189" i="14"/>
  <c r="G81" i="1"/>
  <c r="G80" i="1"/>
  <c r="A9" i="14" l="1"/>
  <c r="B9" i="14"/>
  <c r="C9" i="14"/>
  <c r="A10" i="14"/>
  <c r="B10" i="14"/>
  <c r="C10" i="14"/>
  <c r="A11" i="14"/>
  <c r="B11" i="14"/>
  <c r="C11" i="14"/>
  <c r="A12" i="14"/>
  <c r="B12" i="14"/>
  <c r="C12" i="14"/>
  <c r="A13" i="14"/>
  <c r="B13" i="14"/>
  <c r="C13" i="14"/>
  <c r="G86" i="1"/>
  <c r="H86" i="1" s="1"/>
  <c r="E10" i="14" s="1"/>
  <c r="G85" i="1"/>
  <c r="H85" i="1" s="1"/>
  <c r="E9" i="14" s="1"/>
  <c r="G88" i="1"/>
  <c r="D12" i="14" s="1"/>
  <c r="D10" i="14" l="1"/>
  <c r="D9" i="14"/>
  <c r="A163" i="14"/>
  <c r="B163" i="14"/>
  <c r="C163" i="14"/>
  <c r="A164" i="14"/>
  <c r="B164" i="14"/>
  <c r="C164" i="14"/>
  <c r="A165" i="14"/>
  <c r="B165" i="14"/>
  <c r="C165" i="14"/>
  <c r="A166" i="14"/>
  <c r="B166" i="14"/>
  <c r="C166" i="14"/>
  <c r="A167" i="14"/>
  <c r="B167" i="14"/>
  <c r="C167" i="14"/>
  <c r="A168" i="14"/>
  <c r="B168" i="14"/>
  <c r="C168" i="14"/>
  <c r="A169" i="14"/>
  <c r="B169" i="14"/>
  <c r="C169" i="14"/>
  <c r="A170" i="14"/>
  <c r="B170" i="14"/>
  <c r="C170" i="14"/>
  <c r="A171" i="14"/>
  <c r="B171" i="14"/>
  <c r="C171" i="14"/>
  <c r="A172" i="14"/>
  <c r="B172" i="14"/>
  <c r="C172" i="14"/>
  <c r="A173" i="14"/>
  <c r="B173" i="14"/>
  <c r="C173" i="14"/>
  <c r="A174" i="14"/>
  <c r="B174" i="14"/>
  <c r="C174" i="14"/>
  <c r="A175" i="14"/>
  <c r="B175" i="14"/>
  <c r="C175" i="14"/>
  <c r="A176" i="14"/>
  <c r="B176" i="14"/>
  <c r="C176" i="14"/>
  <c r="A177" i="14"/>
  <c r="B177" i="14"/>
  <c r="C177" i="14"/>
  <c r="A178" i="14"/>
  <c r="B178" i="14"/>
  <c r="C178" i="14"/>
  <c r="A179" i="14"/>
  <c r="B179" i="14"/>
  <c r="C179" i="14"/>
  <c r="A180" i="14"/>
  <c r="B180" i="14"/>
  <c r="C180" i="14"/>
  <c r="A181" i="14"/>
  <c r="B181" i="14"/>
  <c r="C181" i="14"/>
  <c r="A182" i="14"/>
  <c r="B182" i="14"/>
  <c r="C182" i="14"/>
  <c r="A183" i="14"/>
  <c r="B183" i="14"/>
  <c r="C183" i="14"/>
  <c r="A184" i="14"/>
  <c r="B184" i="14"/>
  <c r="C184" i="14"/>
  <c r="A185" i="14"/>
  <c r="B185" i="14"/>
  <c r="C185" i="14"/>
  <c r="A186" i="14"/>
  <c r="B186" i="14"/>
  <c r="C186" i="14"/>
  <c r="A187" i="14"/>
  <c r="B187" i="14"/>
  <c r="C187" i="14"/>
  <c r="A149" i="14"/>
  <c r="B149" i="14"/>
  <c r="C149" i="14"/>
  <c r="A150" i="14"/>
  <c r="B150" i="14"/>
  <c r="C150" i="14"/>
  <c r="A151" i="14"/>
  <c r="B151" i="14"/>
  <c r="C151" i="14"/>
  <c r="A152" i="14"/>
  <c r="B152" i="14"/>
  <c r="C152" i="14"/>
  <c r="A153" i="14"/>
  <c r="B153" i="14"/>
  <c r="C153" i="14"/>
  <c r="A154" i="14"/>
  <c r="B154" i="14"/>
  <c r="C154" i="14"/>
  <c r="A155" i="14"/>
  <c r="B155" i="14"/>
  <c r="C155" i="14"/>
  <c r="A136" i="14"/>
  <c r="B136" i="14"/>
  <c r="C136" i="14"/>
  <c r="A137" i="14"/>
  <c r="B137" i="14"/>
  <c r="C137" i="14"/>
  <c r="A138" i="14"/>
  <c r="B138" i="14"/>
  <c r="C138" i="14"/>
  <c r="A139" i="14"/>
  <c r="B139" i="14"/>
  <c r="C139" i="14"/>
  <c r="A140" i="14"/>
  <c r="B140" i="14"/>
  <c r="C140" i="14"/>
  <c r="A141" i="14"/>
  <c r="B141" i="14"/>
  <c r="C141" i="14"/>
  <c r="A142" i="14"/>
  <c r="B142" i="14"/>
  <c r="C142" i="14"/>
  <c r="A143" i="14"/>
  <c r="B143" i="14"/>
  <c r="C143" i="14"/>
  <c r="A144" i="14"/>
  <c r="B144" i="14"/>
  <c r="C144" i="14"/>
  <c r="A145" i="14"/>
  <c r="B145" i="14"/>
  <c r="C145" i="14"/>
  <c r="A146" i="14"/>
  <c r="B146" i="14"/>
  <c r="C146" i="14"/>
  <c r="A147" i="14"/>
  <c r="B147" i="14"/>
  <c r="C147" i="14"/>
  <c r="A148" i="14"/>
  <c r="B148" i="14"/>
  <c r="C148" i="14"/>
  <c r="A130" i="14"/>
  <c r="B130" i="14"/>
  <c r="C130" i="14"/>
  <c r="A131" i="14"/>
  <c r="B131" i="14"/>
  <c r="C131" i="14"/>
  <c r="A132" i="14"/>
  <c r="B132" i="14"/>
  <c r="C132" i="14"/>
  <c r="A133" i="14"/>
  <c r="B133" i="14"/>
  <c r="C133" i="14"/>
  <c r="A134" i="14"/>
  <c r="B134" i="14"/>
  <c r="C134" i="14"/>
  <c r="A135" i="14"/>
  <c r="B135" i="14"/>
  <c r="C135" i="14"/>
  <c r="E16" i="8"/>
  <c r="F16" i="8" s="1"/>
  <c r="E17" i="8"/>
  <c r="F17" i="8" s="1"/>
  <c r="E18" i="8"/>
  <c r="F18" i="8" s="1"/>
  <c r="E19" i="8"/>
  <c r="F19" i="8" s="1"/>
  <c r="E20" i="8"/>
  <c r="F20" i="8" s="1"/>
  <c r="E21" i="8"/>
  <c r="F21" i="8" s="1"/>
  <c r="E22" i="8"/>
  <c r="F22" i="8" s="1"/>
  <c r="E23" i="8"/>
  <c r="F23" i="8" s="1"/>
  <c r="E24" i="8"/>
  <c r="F24" i="8" s="1"/>
  <c r="E25" i="8"/>
  <c r="F25" i="8" s="1"/>
  <c r="E15" i="8"/>
  <c r="D56" i="8"/>
  <c r="D57" i="8"/>
  <c r="D58" i="8"/>
  <c r="D59" i="8"/>
  <c r="D60" i="8"/>
  <c r="D61" i="8"/>
  <c r="D217" i="14" s="1"/>
  <c r="D62" i="8"/>
  <c r="D63" i="8"/>
  <c r="D64" i="8"/>
  <c r="D65" i="8"/>
  <c r="D55" i="8"/>
  <c r="D45" i="8"/>
  <c r="D46" i="8"/>
  <c r="D47" i="8"/>
  <c r="D48" i="8"/>
  <c r="D49" i="8"/>
  <c r="D50" i="8"/>
  <c r="D51" i="8"/>
  <c r="D52" i="8"/>
  <c r="D53" i="8"/>
  <c r="D54" i="8"/>
  <c r="D44" i="8"/>
  <c r="D34" i="8"/>
  <c r="D35" i="8"/>
  <c r="D36" i="8"/>
  <c r="D37" i="8"/>
  <c r="D38" i="8"/>
  <c r="D39" i="8"/>
  <c r="D40" i="8"/>
  <c r="D41" i="8"/>
  <c r="D42" i="8"/>
  <c r="D43" i="8"/>
  <c r="D33" i="8"/>
  <c r="E61" i="8" l="1"/>
  <c r="E217" i="14" s="1"/>
  <c r="E54" i="8"/>
  <c r="E210" i="14" s="1"/>
  <c r="D210" i="14"/>
  <c r="E43" i="8"/>
  <c r="E199" i="14" s="1"/>
  <c r="D199" i="14"/>
  <c r="E65" i="8"/>
  <c r="E221" i="14" s="1"/>
  <c r="D221" i="14"/>
  <c r="E53" i="8"/>
  <c r="E209" i="14" s="1"/>
  <c r="D209" i="14"/>
  <c r="E42" i="8"/>
  <c r="E198" i="14" s="1"/>
  <c r="D198" i="14"/>
  <c r="E64" i="8"/>
  <c r="E220" i="14" s="1"/>
  <c r="D220" i="14"/>
  <c r="E63" i="8"/>
  <c r="E219" i="14" s="1"/>
  <c r="D219" i="14"/>
  <c r="E52" i="8"/>
  <c r="E208" i="14" s="1"/>
  <c r="D208" i="14"/>
  <c r="E41" i="8"/>
  <c r="E197" i="14" s="1"/>
  <c r="D197" i="14"/>
  <c r="E40" i="8"/>
  <c r="E196" i="14" s="1"/>
  <c r="D196" i="14"/>
  <c r="E62" i="8"/>
  <c r="E218" i="14" s="1"/>
  <c r="D218" i="14"/>
  <c r="E51" i="8"/>
  <c r="E207" i="14" s="1"/>
  <c r="D207" i="14"/>
  <c r="E50" i="8"/>
  <c r="E206" i="14" s="1"/>
  <c r="D206" i="14"/>
  <c r="E39" i="8"/>
  <c r="E195" i="14" s="1"/>
  <c r="D195" i="14"/>
  <c r="E60" i="8"/>
  <c r="E216" i="14" s="1"/>
  <c r="D216" i="14"/>
  <c r="E38" i="8"/>
  <c r="E194" i="14" s="1"/>
  <c r="D194" i="14"/>
  <c r="E49" i="8"/>
  <c r="E205" i="14" s="1"/>
  <c r="D205" i="14"/>
  <c r="E37" i="8"/>
  <c r="E193" i="14" s="1"/>
  <c r="D193" i="14"/>
  <c r="E59" i="8"/>
  <c r="E215" i="14" s="1"/>
  <c r="D215" i="14"/>
  <c r="E48" i="8"/>
  <c r="E204" i="14" s="1"/>
  <c r="D204" i="14"/>
  <c r="E36" i="8"/>
  <c r="E192" i="14" s="1"/>
  <c r="D192" i="14"/>
  <c r="E47" i="8"/>
  <c r="E203" i="14" s="1"/>
  <c r="D203" i="14"/>
  <c r="E58" i="8"/>
  <c r="E214" i="14" s="1"/>
  <c r="D214" i="14"/>
  <c r="E35" i="8"/>
  <c r="E191" i="14" s="1"/>
  <c r="D191" i="14"/>
  <c r="E46" i="8"/>
  <c r="E202" i="14" s="1"/>
  <c r="D202" i="14"/>
  <c r="E57" i="8"/>
  <c r="E213" i="14" s="1"/>
  <c r="D213" i="14"/>
  <c r="E45" i="8"/>
  <c r="E201" i="14" s="1"/>
  <c r="D201" i="14"/>
  <c r="E34" i="8"/>
  <c r="E190" i="14" s="1"/>
  <c r="D190" i="14"/>
  <c r="E56" i="8"/>
  <c r="E212" i="14" s="1"/>
  <c r="D212" i="14"/>
  <c r="E55" i="8"/>
  <c r="D211" i="14"/>
  <c r="E44" i="8"/>
  <c r="D200" i="14"/>
  <c r="E33" i="8"/>
  <c r="D189" i="14"/>
  <c r="F16" i="7"/>
  <c r="F19" i="7"/>
  <c r="F20" i="7"/>
  <c r="F23" i="7"/>
  <c r="F24" i="7"/>
  <c r="F27" i="7"/>
  <c r="F28" i="7"/>
  <c r="F31" i="7"/>
  <c r="F32" i="7"/>
  <c r="F35" i="7"/>
  <c r="F36" i="7"/>
  <c r="F39" i="7"/>
  <c r="F40" i="7"/>
  <c r="D187" i="14"/>
  <c r="D164" i="14"/>
  <c r="D166" i="14"/>
  <c r="D168" i="14"/>
  <c r="D169" i="14"/>
  <c r="D170" i="14"/>
  <c r="D172" i="14"/>
  <c r="D174" i="14"/>
  <c r="D176" i="14"/>
  <c r="D178" i="14"/>
  <c r="D179" i="14"/>
  <c r="D180" i="14"/>
  <c r="D181" i="14"/>
  <c r="D182" i="14"/>
  <c r="D183" i="14"/>
  <c r="D184" i="14"/>
  <c r="D185" i="14"/>
  <c r="G92" i="7"/>
  <c r="E169" i="14" s="1"/>
  <c r="G87" i="7"/>
  <c r="E164" i="14" s="1"/>
  <c r="G85" i="7"/>
  <c r="G106" i="7"/>
  <c r="E183" i="14" s="1"/>
  <c r="G99" i="7"/>
  <c r="E176" i="14" s="1"/>
  <c r="G97" i="7"/>
  <c r="E174" i="14" s="1"/>
  <c r="G95" i="7"/>
  <c r="E172" i="14" s="1"/>
  <c r="G93" i="7"/>
  <c r="E170" i="14" s="1"/>
  <c r="G89" i="7"/>
  <c r="E166" i="14" s="1"/>
  <c r="G50" i="7"/>
  <c r="E127" i="14" s="1"/>
  <c r="G51" i="7"/>
  <c r="G52" i="7"/>
  <c r="G49" i="7"/>
  <c r="F17" i="7"/>
  <c r="F18" i="7"/>
  <c r="F21" i="7"/>
  <c r="F22" i="7"/>
  <c r="F25" i="7"/>
  <c r="F26" i="7"/>
  <c r="F29" i="7"/>
  <c r="F30" i="7"/>
  <c r="F33" i="7"/>
  <c r="F34" i="7"/>
  <c r="F37" i="7"/>
  <c r="F38" i="7"/>
  <c r="F41" i="7"/>
  <c r="F13" i="7"/>
  <c r="C42" i="11"/>
  <c r="E42" i="11"/>
  <c r="C39" i="10"/>
  <c r="B126" i="14"/>
  <c r="H7" i="4"/>
  <c r="E66" i="8" l="1"/>
  <c r="G110" i="7"/>
  <c r="E187" i="14" s="1"/>
  <c r="G77" i="7"/>
  <c r="E154" i="14" s="1"/>
  <c r="D154" i="14"/>
  <c r="G73" i="7"/>
  <c r="E150" i="14" s="1"/>
  <c r="D150" i="14"/>
  <c r="G69" i="7"/>
  <c r="E146" i="14" s="1"/>
  <c r="D146" i="14"/>
  <c r="G65" i="7"/>
  <c r="E142" i="14" s="1"/>
  <c r="D142" i="14"/>
  <c r="G61" i="7"/>
  <c r="E138" i="14" s="1"/>
  <c r="D138" i="14"/>
  <c r="G57" i="7"/>
  <c r="E134" i="14" s="1"/>
  <c r="D134" i="14"/>
  <c r="G53" i="7"/>
  <c r="E130" i="14" s="1"/>
  <c r="D130" i="14"/>
  <c r="G100" i="7"/>
  <c r="E177" i="14" s="1"/>
  <c r="D177" i="14"/>
  <c r="G96" i="7"/>
  <c r="E173" i="14" s="1"/>
  <c r="D173" i="14"/>
  <c r="G88" i="7"/>
  <c r="E165" i="14" s="1"/>
  <c r="D165" i="14"/>
  <c r="G76" i="7"/>
  <c r="D153" i="14"/>
  <c r="G72" i="7"/>
  <c r="E149" i="14" s="1"/>
  <c r="D149" i="14"/>
  <c r="G68" i="7"/>
  <c r="E145" i="14" s="1"/>
  <c r="D145" i="14"/>
  <c r="G64" i="7"/>
  <c r="E141" i="14" s="1"/>
  <c r="D141" i="14"/>
  <c r="G60" i="7"/>
  <c r="E137" i="14" s="1"/>
  <c r="D137" i="14"/>
  <c r="G56" i="7"/>
  <c r="E133" i="14" s="1"/>
  <c r="D133" i="14"/>
  <c r="G75" i="7"/>
  <c r="E152" i="14" s="1"/>
  <c r="D152" i="14"/>
  <c r="G71" i="7"/>
  <c r="E148" i="14" s="1"/>
  <c r="D148" i="14"/>
  <c r="G67" i="7"/>
  <c r="E144" i="14" s="1"/>
  <c r="D144" i="14"/>
  <c r="G63" i="7"/>
  <c r="E140" i="14" s="1"/>
  <c r="D140" i="14"/>
  <c r="G59" i="7"/>
  <c r="E136" i="14" s="1"/>
  <c r="D136" i="14"/>
  <c r="G55" i="7"/>
  <c r="E132" i="14" s="1"/>
  <c r="D132" i="14"/>
  <c r="G107" i="7"/>
  <c r="E184" i="14" s="1"/>
  <c r="G98" i="7"/>
  <c r="E175" i="14" s="1"/>
  <c r="D175" i="14"/>
  <c r="G94" i="7"/>
  <c r="E171" i="14" s="1"/>
  <c r="D171" i="14"/>
  <c r="G90" i="7"/>
  <c r="E167" i="14" s="1"/>
  <c r="D167" i="14"/>
  <c r="G86" i="7"/>
  <c r="E163" i="14" s="1"/>
  <c r="D163" i="14"/>
  <c r="G78" i="7"/>
  <c r="E155" i="14" s="1"/>
  <c r="D155" i="14"/>
  <c r="G74" i="7"/>
  <c r="E151" i="14" s="1"/>
  <c r="D151" i="14"/>
  <c r="G70" i="7"/>
  <c r="E147" i="14" s="1"/>
  <c r="D147" i="14"/>
  <c r="G66" i="7"/>
  <c r="E143" i="14" s="1"/>
  <c r="D143" i="14"/>
  <c r="G62" i="7"/>
  <c r="E139" i="14" s="1"/>
  <c r="D139" i="14"/>
  <c r="G58" i="7"/>
  <c r="E135" i="14" s="1"/>
  <c r="D135" i="14"/>
  <c r="G54" i="7"/>
  <c r="E131" i="14" s="1"/>
  <c r="D131" i="14"/>
  <c r="G109" i="7"/>
  <c r="E186" i="14" s="1"/>
  <c r="D186" i="14"/>
  <c r="D49" i="5"/>
  <c r="E189" i="14"/>
  <c r="D51" i="5"/>
  <c r="E211" i="14"/>
  <c r="E200" i="14"/>
  <c r="D50" i="5"/>
  <c r="G112" i="1"/>
  <c r="G111" i="1"/>
  <c r="E153" i="14" l="1"/>
  <c r="A58" i="14"/>
  <c r="B58" i="14"/>
  <c r="C58" i="14"/>
  <c r="G73" i="2"/>
  <c r="H73" i="2" l="1"/>
  <c r="E58" i="14" s="1"/>
  <c r="J73" i="2"/>
  <c r="D26" i="5"/>
  <c r="D58" i="14"/>
  <c r="D39" i="10" l="1"/>
  <c r="F39" i="10" s="1"/>
  <c r="D42" i="11"/>
  <c r="F42" i="11" s="1"/>
  <c r="H81" i="1"/>
  <c r="H4" i="1"/>
  <c r="H5" i="1"/>
  <c r="H6" i="1"/>
  <c r="A27" i="14"/>
  <c r="B27" i="14"/>
  <c r="C27" i="14"/>
  <c r="A28" i="14"/>
  <c r="B28" i="14"/>
  <c r="C28" i="14"/>
  <c r="G103" i="1"/>
  <c r="H103" i="1" s="1"/>
  <c r="E27" i="14" s="1"/>
  <c r="G104" i="1"/>
  <c r="D28" i="14" s="1"/>
  <c r="H38" i="1"/>
  <c r="H37" i="1"/>
  <c r="A20" i="14"/>
  <c r="B20" i="14"/>
  <c r="C20" i="14"/>
  <c r="G96" i="1"/>
  <c r="H96" i="1" s="1"/>
  <c r="E20" i="14" s="1"/>
  <c r="H30" i="1"/>
  <c r="H104" i="1" l="1"/>
  <c r="E28" i="14" s="1"/>
  <c r="D27" i="14"/>
  <c r="D20" i="14"/>
  <c r="H75" i="4"/>
  <c r="I75" i="4" s="1"/>
  <c r="E69" i="14" s="1"/>
  <c r="A69" i="14"/>
  <c r="B69" i="14"/>
  <c r="C69" i="14"/>
  <c r="I5" i="4"/>
  <c r="D69" i="14" l="1"/>
  <c r="G66" i="2"/>
  <c r="J66" i="2" s="1"/>
  <c r="G78" i="2" l="1"/>
  <c r="J78" i="2" s="1"/>
  <c r="G87" i="1" l="1"/>
  <c r="D11" i="14" s="1"/>
  <c r="G42" i="11" l="1"/>
  <c r="H42" i="11" s="1"/>
  <c r="J42" i="11" l="1"/>
  <c r="I42" i="11"/>
  <c r="G23" i="11"/>
  <c r="G26" i="11"/>
  <c r="G66" i="11"/>
  <c r="G60" i="11"/>
  <c r="G56" i="11"/>
  <c r="G47" i="11"/>
  <c r="G36" i="11"/>
  <c r="G40" i="11"/>
  <c r="G32" i="11"/>
  <c r="G27" i="11"/>
  <c r="G49" i="11"/>
  <c r="G35" i="11"/>
  <c r="G61" i="11"/>
  <c r="G46" i="11"/>
  <c r="G39" i="11"/>
  <c r="G63" i="11"/>
  <c r="G57" i="11"/>
  <c r="G54" i="11"/>
  <c r="G48" i="11"/>
  <c r="G37" i="11"/>
  <c r="G41" i="11"/>
  <c r="G30" i="11"/>
  <c r="G62" i="11"/>
  <c r="G51" i="11"/>
  <c r="G38" i="11"/>
  <c r="G25" i="11"/>
  <c r="G67" i="11"/>
  <c r="G55" i="11"/>
  <c r="G45" i="11"/>
  <c r="G31" i="11"/>
  <c r="A7" i="11" l="1"/>
  <c r="A6" i="11"/>
  <c r="A5" i="11"/>
  <c r="A4" i="11"/>
  <c r="A16" i="11" l="1"/>
  <c r="A12" i="11"/>
  <c r="A11" i="11"/>
  <c r="A10" i="11"/>
  <c r="C67" i="11"/>
  <c r="C66" i="11"/>
  <c r="A65" i="11"/>
  <c r="C61" i="11"/>
  <c r="C62" i="11"/>
  <c r="C63" i="11"/>
  <c r="C60" i="11"/>
  <c r="A59" i="11"/>
  <c r="C57" i="11"/>
  <c r="C55" i="11"/>
  <c r="C56" i="11"/>
  <c r="C54" i="11"/>
  <c r="A53" i="11"/>
  <c r="C51" i="11"/>
  <c r="A51" i="11"/>
  <c r="C46" i="11"/>
  <c r="C47" i="11"/>
  <c r="C48" i="11"/>
  <c r="C49" i="11"/>
  <c r="C45" i="11"/>
  <c r="A44" i="11"/>
  <c r="C36" i="11"/>
  <c r="C37" i="11"/>
  <c r="C38" i="11"/>
  <c r="C39" i="11"/>
  <c r="C40" i="11"/>
  <c r="C41" i="11"/>
  <c r="C35" i="11"/>
  <c r="A34" i="11"/>
  <c r="C31" i="11"/>
  <c r="C32" i="11"/>
  <c r="C30" i="11"/>
  <c r="A29" i="11"/>
  <c r="C25" i="11"/>
  <c r="C26" i="11"/>
  <c r="C27" i="11"/>
  <c r="C23" i="11"/>
  <c r="A22" i="11"/>
  <c r="C64" i="10"/>
  <c r="C63" i="10"/>
  <c r="A62" i="10"/>
  <c r="C58" i="10"/>
  <c r="C59" i="10"/>
  <c r="C60" i="10"/>
  <c r="C57" i="10"/>
  <c r="A56" i="10"/>
  <c r="C54" i="10"/>
  <c r="C52" i="10"/>
  <c r="C53" i="10"/>
  <c r="C51" i="10"/>
  <c r="A50" i="10"/>
  <c r="C48" i="10"/>
  <c r="A48" i="10"/>
  <c r="C43" i="10"/>
  <c r="C44" i="10"/>
  <c r="C45" i="10"/>
  <c r="C46" i="10"/>
  <c r="C42" i="10"/>
  <c r="A41" i="10"/>
  <c r="C33" i="10"/>
  <c r="C34" i="10"/>
  <c r="C35" i="10"/>
  <c r="C36" i="10"/>
  <c r="C37" i="10"/>
  <c r="C38" i="10"/>
  <c r="C32" i="10"/>
  <c r="A31" i="10"/>
  <c r="C28" i="10"/>
  <c r="C29" i="10"/>
  <c r="C27" i="10"/>
  <c r="A26" i="10"/>
  <c r="C22" i="10"/>
  <c r="C23" i="10"/>
  <c r="C24" i="10"/>
  <c r="A19" i="10"/>
  <c r="G80" i="2" l="1"/>
  <c r="J80" i="2" s="1"/>
  <c r="D72" i="10" l="1"/>
  <c r="C10" i="11"/>
  <c r="D247" i="14" l="1"/>
  <c r="A247" i="14"/>
  <c r="B247" i="14"/>
  <c r="C247" i="14"/>
  <c r="G33" i="6" l="1"/>
  <c r="E247" i="14" s="1"/>
  <c r="A66" i="14" l="1"/>
  <c r="B66" i="14"/>
  <c r="C66" i="14"/>
  <c r="B223" i="14" l="1"/>
  <c r="C223" i="14"/>
  <c r="D223" i="14"/>
  <c r="B224" i="14"/>
  <c r="C224" i="14"/>
  <c r="D224" i="14"/>
  <c r="B225" i="14"/>
  <c r="C225" i="14"/>
  <c r="D225" i="14"/>
  <c r="B226" i="14"/>
  <c r="C226" i="14"/>
  <c r="D226" i="14"/>
  <c r="B227" i="14"/>
  <c r="C227" i="14"/>
  <c r="D227" i="14"/>
  <c r="B228" i="14"/>
  <c r="C228" i="14"/>
  <c r="D228" i="14"/>
  <c r="B229" i="14"/>
  <c r="C229" i="14"/>
  <c r="D229" i="14"/>
  <c r="B230" i="14"/>
  <c r="C230" i="14"/>
  <c r="D230" i="14"/>
  <c r="B231" i="14"/>
  <c r="C231" i="14"/>
  <c r="D231" i="14"/>
  <c r="B232" i="14"/>
  <c r="C232" i="14"/>
  <c r="D232" i="14"/>
  <c r="B233" i="14"/>
  <c r="C233" i="14"/>
  <c r="D233" i="14"/>
  <c r="B234" i="14"/>
  <c r="C234" i="14"/>
  <c r="D234" i="14"/>
  <c r="B235" i="14"/>
  <c r="C235" i="14"/>
  <c r="D235" i="14"/>
  <c r="B236" i="14"/>
  <c r="C236" i="14"/>
  <c r="D236" i="14"/>
  <c r="B237" i="14"/>
  <c r="C237" i="14"/>
  <c r="D237" i="14"/>
  <c r="B238" i="14"/>
  <c r="C238" i="14"/>
  <c r="D238" i="14"/>
  <c r="B239" i="14"/>
  <c r="C239" i="14"/>
  <c r="D239" i="14"/>
  <c r="B240" i="14"/>
  <c r="C240" i="14"/>
  <c r="D240" i="14"/>
  <c r="B241" i="14"/>
  <c r="C241" i="14"/>
  <c r="D241" i="14"/>
  <c r="B242" i="14"/>
  <c r="C242" i="14"/>
  <c r="D242" i="14"/>
  <c r="B243" i="14"/>
  <c r="C243" i="14"/>
  <c r="D243" i="14"/>
  <c r="B244" i="14"/>
  <c r="C244" i="14"/>
  <c r="D244" i="14"/>
  <c r="B245" i="14"/>
  <c r="C245" i="14"/>
  <c r="D245" i="14"/>
  <c r="B246" i="14"/>
  <c r="C246" i="14"/>
  <c r="D246" i="14"/>
  <c r="A223" i="14"/>
  <c r="A224" i="14"/>
  <c r="A225" i="14"/>
  <c r="A226" i="14"/>
  <c r="A227" i="14"/>
  <c r="A228" i="14"/>
  <c r="A229" i="14"/>
  <c r="A230" i="14"/>
  <c r="A231" i="14"/>
  <c r="A232" i="14"/>
  <c r="A233" i="14"/>
  <c r="A234" i="14"/>
  <c r="A235" i="14"/>
  <c r="A236" i="14"/>
  <c r="A237" i="14"/>
  <c r="A238" i="14"/>
  <c r="A239" i="14"/>
  <c r="A240" i="14"/>
  <c r="A241" i="14"/>
  <c r="A242" i="14"/>
  <c r="A243" i="14"/>
  <c r="A244" i="14"/>
  <c r="A245" i="14"/>
  <c r="A246" i="14"/>
  <c r="B189" i="14"/>
  <c r="A189" i="14"/>
  <c r="C126" i="14"/>
  <c r="C128" i="14"/>
  <c r="C129" i="14"/>
  <c r="C157" i="14"/>
  <c r="C158" i="14"/>
  <c r="C159" i="14"/>
  <c r="C160" i="14"/>
  <c r="C161" i="14"/>
  <c r="C162" i="14"/>
  <c r="C125" i="14"/>
  <c r="B128" i="14"/>
  <c r="B129" i="14"/>
  <c r="B157" i="14"/>
  <c r="B158" i="14"/>
  <c r="B159" i="14"/>
  <c r="B160" i="14"/>
  <c r="B161" i="14"/>
  <c r="B162" i="14"/>
  <c r="B125" i="14"/>
  <c r="A160" i="14"/>
  <c r="A161" i="14"/>
  <c r="A162" i="14"/>
  <c r="A126" i="14"/>
  <c r="A128" i="14"/>
  <c r="A129" i="14"/>
  <c r="A157" i="14"/>
  <c r="A158" i="14"/>
  <c r="A159" i="14"/>
  <c r="A125" i="14"/>
  <c r="C70" i="14"/>
  <c r="C71" i="14"/>
  <c r="C72" i="14"/>
  <c r="C73" i="14"/>
  <c r="C74" i="14"/>
  <c r="C75" i="14"/>
  <c r="C76" i="14"/>
  <c r="C77" i="14"/>
  <c r="C78" i="14"/>
  <c r="C79" i="14"/>
  <c r="C80" i="14"/>
  <c r="C81" i="14"/>
  <c r="C82" i="14"/>
  <c r="C83" i="14"/>
  <c r="C84" i="14"/>
  <c r="C85" i="14"/>
  <c r="C86" i="14"/>
  <c r="C87" i="14"/>
  <c r="C88" i="14"/>
  <c r="C89" i="14"/>
  <c r="C90" i="14"/>
  <c r="C91" i="14"/>
  <c r="C92" i="14"/>
  <c r="C93" i="14"/>
  <c r="C94" i="14"/>
  <c r="C96" i="14"/>
  <c r="C98" i="14"/>
  <c r="C101" i="14"/>
  <c r="C102" i="14"/>
  <c r="C103" i="14"/>
  <c r="C104" i="14"/>
  <c r="C105" i="14"/>
  <c r="C106" i="14"/>
  <c r="C107" i="14"/>
  <c r="C108" i="14"/>
  <c r="C109" i="14"/>
  <c r="C111" i="14"/>
  <c r="C112" i="14"/>
  <c r="C113" i="14"/>
  <c r="C114" i="14"/>
  <c r="C115" i="14"/>
  <c r="C116" i="14"/>
  <c r="C117" i="14"/>
  <c r="C118" i="14"/>
  <c r="C119" i="14"/>
  <c r="C120" i="14"/>
  <c r="C121" i="14"/>
  <c r="C122" i="14"/>
  <c r="C123" i="14"/>
  <c r="C68" i="14"/>
  <c r="B70" i="14"/>
  <c r="B71" i="14"/>
  <c r="B72" i="14"/>
  <c r="B73" i="14"/>
  <c r="B74" i="14"/>
  <c r="B75" i="14"/>
  <c r="B76" i="14"/>
  <c r="B77" i="14"/>
  <c r="B78" i="14"/>
  <c r="B79" i="14"/>
  <c r="B80" i="14"/>
  <c r="B81" i="14"/>
  <c r="B82" i="14"/>
  <c r="B83" i="14"/>
  <c r="B84" i="14"/>
  <c r="B85" i="14"/>
  <c r="B86" i="14"/>
  <c r="B87" i="14"/>
  <c r="B88" i="14"/>
  <c r="B89" i="14"/>
  <c r="B90" i="14"/>
  <c r="B91" i="14"/>
  <c r="B92" i="14"/>
  <c r="B93" i="14"/>
  <c r="B94" i="14"/>
  <c r="B96" i="14"/>
  <c r="B98" i="14"/>
  <c r="B101" i="14"/>
  <c r="B102" i="14"/>
  <c r="B103" i="14"/>
  <c r="B104" i="14"/>
  <c r="B105" i="14"/>
  <c r="B106" i="14"/>
  <c r="B107" i="14"/>
  <c r="B108" i="14"/>
  <c r="B109" i="14"/>
  <c r="B111" i="14"/>
  <c r="B112" i="14"/>
  <c r="B113" i="14"/>
  <c r="B114" i="14"/>
  <c r="B115" i="14"/>
  <c r="B116" i="14"/>
  <c r="B117" i="14"/>
  <c r="B118" i="14"/>
  <c r="B119" i="14"/>
  <c r="B120" i="14"/>
  <c r="B121" i="14"/>
  <c r="B122" i="14"/>
  <c r="B123" i="14"/>
  <c r="B68" i="14"/>
  <c r="A70" i="14"/>
  <c r="A71" i="14"/>
  <c r="A72" i="14"/>
  <c r="A73" i="14"/>
  <c r="A74" i="14"/>
  <c r="A75" i="14"/>
  <c r="A76" i="14"/>
  <c r="A77" i="14"/>
  <c r="A78" i="14"/>
  <c r="A79" i="14"/>
  <c r="A80" i="14"/>
  <c r="A81" i="14"/>
  <c r="A82" i="14"/>
  <c r="A83" i="14"/>
  <c r="A84" i="14"/>
  <c r="A85" i="14"/>
  <c r="A86" i="14"/>
  <c r="A87" i="14"/>
  <c r="A88" i="14"/>
  <c r="A89" i="14"/>
  <c r="A90" i="14"/>
  <c r="A91" i="14"/>
  <c r="A92" i="14"/>
  <c r="A93" i="14"/>
  <c r="A94" i="14"/>
  <c r="A96" i="14"/>
  <c r="A98" i="14"/>
  <c r="A101" i="14"/>
  <c r="A102" i="14"/>
  <c r="A103" i="14"/>
  <c r="A104" i="14"/>
  <c r="A105" i="14"/>
  <c r="A106" i="14"/>
  <c r="A107" i="14"/>
  <c r="A108" i="14"/>
  <c r="A109" i="14"/>
  <c r="A111" i="14"/>
  <c r="A112" i="14"/>
  <c r="A113" i="14"/>
  <c r="A114" i="14"/>
  <c r="A115" i="14"/>
  <c r="A116" i="14"/>
  <c r="A117" i="14"/>
  <c r="A118" i="14"/>
  <c r="A119" i="14"/>
  <c r="A120" i="14"/>
  <c r="A121" i="14"/>
  <c r="A122" i="14"/>
  <c r="A123" i="14"/>
  <c r="A68" i="14"/>
  <c r="C39" i="14"/>
  <c r="C40" i="14"/>
  <c r="C41" i="14"/>
  <c r="C42" i="14"/>
  <c r="C43" i="14"/>
  <c r="C44" i="14"/>
  <c r="C45" i="14"/>
  <c r="C46" i="14"/>
  <c r="C47" i="14"/>
  <c r="C48" i="14"/>
  <c r="C49" i="14"/>
  <c r="C51" i="14"/>
  <c r="C52" i="14"/>
  <c r="C53" i="14"/>
  <c r="C54" i="14"/>
  <c r="C55" i="14"/>
  <c r="C56" i="14"/>
  <c r="C57" i="14"/>
  <c r="C60" i="14"/>
  <c r="C61" i="14"/>
  <c r="C62" i="14"/>
  <c r="C63" i="14"/>
  <c r="C64" i="14"/>
  <c r="C65" i="14"/>
  <c r="B39" i="14"/>
  <c r="B40" i="14"/>
  <c r="B41" i="14"/>
  <c r="B42" i="14"/>
  <c r="B43" i="14"/>
  <c r="B44" i="14"/>
  <c r="B45" i="14"/>
  <c r="B46" i="14"/>
  <c r="B47" i="14"/>
  <c r="B48" i="14"/>
  <c r="B49" i="14"/>
  <c r="B51" i="14"/>
  <c r="B52" i="14"/>
  <c r="B53" i="14"/>
  <c r="B54" i="14"/>
  <c r="B55" i="14"/>
  <c r="B56" i="14"/>
  <c r="B57" i="14"/>
  <c r="B60" i="14"/>
  <c r="B61" i="14"/>
  <c r="B62" i="14"/>
  <c r="B63" i="14"/>
  <c r="B64" i="14"/>
  <c r="B65" i="14"/>
  <c r="A62" i="14"/>
  <c r="A63" i="14"/>
  <c r="A64" i="14"/>
  <c r="A65" i="14"/>
  <c r="A39" i="14"/>
  <c r="A40" i="14"/>
  <c r="A41" i="14"/>
  <c r="A42" i="14"/>
  <c r="A43" i="14"/>
  <c r="A44" i="14"/>
  <c r="A45" i="14"/>
  <c r="A46" i="14"/>
  <c r="A47" i="14"/>
  <c r="A48" i="14"/>
  <c r="A49" i="14"/>
  <c r="A51" i="14"/>
  <c r="A52" i="14"/>
  <c r="A53" i="14"/>
  <c r="A54" i="14"/>
  <c r="A55" i="14"/>
  <c r="A56" i="14"/>
  <c r="A57" i="14"/>
  <c r="A60" i="14"/>
  <c r="A61" i="14"/>
  <c r="A2" i="14"/>
  <c r="C2" i="14"/>
  <c r="D2" i="14"/>
  <c r="E2" i="14"/>
  <c r="A3" i="14"/>
  <c r="B3" i="14"/>
  <c r="C3" i="14"/>
  <c r="A4" i="14"/>
  <c r="B4" i="14"/>
  <c r="C4" i="14"/>
  <c r="A5" i="14"/>
  <c r="B5" i="14"/>
  <c r="C5" i="14"/>
  <c r="A6" i="14"/>
  <c r="B6" i="14"/>
  <c r="C6" i="14"/>
  <c r="A7" i="14"/>
  <c r="B7" i="14"/>
  <c r="C7" i="14"/>
  <c r="A8" i="14"/>
  <c r="B8" i="14"/>
  <c r="C8" i="14"/>
  <c r="A14" i="14"/>
  <c r="B14" i="14"/>
  <c r="C14" i="14"/>
  <c r="A15" i="14"/>
  <c r="B15" i="14"/>
  <c r="C15" i="14"/>
  <c r="A16" i="14"/>
  <c r="B16" i="14"/>
  <c r="C16" i="14"/>
  <c r="A17" i="14"/>
  <c r="B17" i="14"/>
  <c r="C17" i="14"/>
  <c r="A18" i="14"/>
  <c r="B18" i="14"/>
  <c r="C18" i="14"/>
  <c r="A19" i="14"/>
  <c r="B19" i="14"/>
  <c r="C19" i="14"/>
  <c r="A21" i="14"/>
  <c r="B21" i="14"/>
  <c r="C21" i="14"/>
  <c r="A22" i="14"/>
  <c r="B22" i="14"/>
  <c r="C22" i="14"/>
  <c r="A23" i="14"/>
  <c r="B23" i="14"/>
  <c r="C23" i="14"/>
  <c r="A24" i="14"/>
  <c r="B24" i="14"/>
  <c r="C24" i="14"/>
  <c r="A25" i="14"/>
  <c r="B25" i="14"/>
  <c r="C25" i="14"/>
  <c r="A26" i="14"/>
  <c r="B26" i="14"/>
  <c r="C26" i="14"/>
  <c r="A29" i="14"/>
  <c r="B29" i="14"/>
  <c r="C29" i="14"/>
  <c r="A30" i="14"/>
  <c r="B30" i="14"/>
  <c r="C30" i="14"/>
  <c r="A31" i="14"/>
  <c r="B31" i="14"/>
  <c r="C31" i="14"/>
  <c r="A32" i="14"/>
  <c r="B32" i="14"/>
  <c r="C32" i="14"/>
  <c r="A33" i="14"/>
  <c r="B33" i="14"/>
  <c r="C33" i="14"/>
  <c r="A34" i="14"/>
  <c r="B34" i="14"/>
  <c r="C34" i="14"/>
  <c r="A35" i="14"/>
  <c r="B35" i="14"/>
  <c r="C35" i="14"/>
  <c r="A36" i="14"/>
  <c r="B36" i="14"/>
  <c r="C36" i="14"/>
  <c r="A37" i="14"/>
  <c r="B37" i="14"/>
  <c r="C37" i="14"/>
  <c r="E23" i="11" l="1"/>
  <c r="E25" i="11" l="1"/>
  <c r="C11" i="11"/>
  <c r="E31" i="11"/>
  <c r="D71" i="11"/>
  <c r="D72" i="11"/>
  <c r="D73" i="11"/>
  <c r="D70" i="11"/>
  <c r="C71" i="11"/>
  <c r="C72" i="11"/>
  <c r="C70" i="11"/>
  <c r="E73" i="11"/>
  <c r="E72" i="11"/>
  <c r="E71" i="11"/>
  <c r="E70" i="11"/>
  <c r="E67" i="11"/>
  <c r="E66" i="11"/>
  <c r="E63" i="11"/>
  <c r="E62" i="11"/>
  <c r="E61" i="11"/>
  <c r="E60" i="11"/>
  <c r="E57" i="11"/>
  <c r="E56" i="11"/>
  <c r="E55" i="11"/>
  <c r="E54" i="11"/>
  <c r="E51" i="11"/>
  <c r="E49" i="11"/>
  <c r="E48" i="11"/>
  <c r="E47" i="11"/>
  <c r="E46" i="11"/>
  <c r="E45" i="11"/>
  <c r="E41" i="11"/>
  <c r="E40" i="11"/>
  <c r="E39" i="11"/>
  <c r="E38" i="11"/>
  <c r="E37" i="11"/>
  <c r="E36" i="11"/>
  <c r="E35" i="11"/>
  <c r="E32" i="11"/>
  <c r="E30" i="11"/>
  <c r="E27" i="11"/>
  <c r="E26" i="11"/>
  <c r="C12" i="11"/>
  <c r="C16" i="11"/>
  <c r="G91" i="7" l="1"/>
  <c r="E168" i="14" s="1"/>
  <c r="D63" i="14"/>
  <c r="G71" i="2"/>
  <c r="J71" i="2" s="1"/>
  <c r="H31" i="1"/>
  <c r="H36" i="1"/>
  <c r="G102" i="1"/>
  <c r="G101" i="1"/>
  <c r="G105" i="1"/>
  <c r="D29" i="14" s="1"/>
  <c r="H39" i="1"/>
  <c r="G95" i="1"/>
  <c r="H29" i="1"/>
  <c r="D56" i="14" l="1"/>
  <c r="H101" i="1"/>
  <c r="E25" i="14" s="1"/>
  <c r="D25" i="14"/>
  <c r="H95" i="1"/>
  <c r="E19" i="14" s="1"/>
  <c r="D19" i="14"/>
  <c r="H102" i="1"/>
  <c r="E26" i="14" s="1"/>
  <c r="D26" i="14"/>
  <c r="H71" i="2"/>
  <c r="G79" i="2"/>
  <c r="J79" i="2" s="1"/>
  <c r="H20" i="1"/>
  <c r="H19" i="1"/>
  <c r="H79" i="2" l="1"/>
  <c r="E64" i="14" s="1"/>
  <c r="D64" i="14"/>
  <c r="D24" i="5"/>
  <c r="D40" i="11" s="1"/>
  <c r="E56" i="14"/>
  <c r="H80" i="2"/>
  <c r="E65" i="14" s="1"/>
  <c r="D65" i="14"/>
  <c r="D34" i="5"/>
  <c r="D49" i="11" s="1"/>
  <c r="F49" i="11" s="1"/>
  <c r="D37" i="10" l="1"/>
  <c r="F37" i="10" s="1"/>
  <c r="F40" i="11"/>
  <c r="H40" i="11"/>
  <c r="H49" i="11"/>
  <c r="J49" i="11" s="1"/>
  <c r="D46" i="10"/>
  <c r="F46" i="10" s="1"/>
  <c r="I40" i="11" l="1"/>
  <c r="J40" i="11"/>
  <c r="I49" i="11"/>
  <c r="D75" i="11" l="1"/>
  <c r="C4" i="11" l="1"/>
  <c r="C4" i="10"/>
  <c r="C7" i="11"/>
  <c r="C6" i="11"/>
  <c r="C5" i="11"/>
  <c r="C7" i="10"/>
  <c r="C6" i="10"/>
  <c r="C5" i="10"/>
  <c r="F71" i="10" l="1"/>
  <c r="F70" i="10"/>
  <c r="F69" i="10"/>
  <c r="F68" i="10"/>
  <c r="F67" i="10"/>
  <c r="F72" i="10" l="1"/>
  <c r="F73" i="11"/>
  <c r="J73" i="11" l="1"/>
  <c r="J74" i="11"/>
  <c r="F72" i="11"/>
  <c r="F71" i="11"/>
  <c r="F70" i="11"/>
  <c r="F75" i="11" l="1"/>
  <c r="H75" i="11"/>
  <c r="J70" i="11"/>
  <c r="J71" i="11"/>
  <c r="J72" i="11"/>
  <c r="H110" i="1"/>
  <c r="J75" i="11" l="1"/>
  <c r="H76" i="4"/>
  <c r="D70" i="14" s="1"/>
  <c r="H117" i="4"/>
  <c r="D112" i="14" s="1"/>
  <c r="H118" i="4"/>
  <c r="D113" i="14" s="1"/>
  <c r="H119" i="4"/>
  <c r="D114" i="14" s="1"/>
  <c r="H120" i="4"/>
  <c r="D115" i="14" s="1"/>
  <c r="H121" i="4"/>
  <c r="D116" i="14" s="1"/>
  <c r="H122" i="4"/>
  <c r="D117" i="14" s="1"/>
  <c r="H123" i="4"/>
  <c r="D118" i="14" s="1"/>
  <c r="H124" i="4"/>
  <c r="D119" i="14" s="1"/>
  <c r="H125" i="4"/>
  <c r="D120" i="14" s="1"/>
  <c r="H126" i="4"/>
  <c r="D121" i="14" s="1"/>
  <c r="H127" i="4"/>
  <c r="D122" i="14" s="1"/>
  <c r="H128" i="4"/>
  <c r="D123" i="14" s="1"/>
  <c r="H116" i="4"/>
  <c r="H81" i="4"/>
  <c r="D75" i="14" s="1"/>
  <c r="H82" i="4"/>
  <c r="H83" i="4"/>
  <c r="D77" i="14" s="1"/>
  <c r="H84" i="4"/>
  <c r="D78" i="14" s="1"/>
  <c r="H85" i="4"/>
  <c r="D79" i="14" s="1"/>
  <c r="H86" i="4"/>
  <c r="D80" i="14" s="1"/>
  <c r="H87" i="4"/>
  <c r="D81" i="14" s="1"/>
  <c r="H88" i="4"/>
  <c r="D82" i="14" s="1"/>
  <c r="H89" i="4"/>
  <c r="D83" i="14" s="1"/>
  <c r="H90" i="4"/>
  <c r="D84" i="14" s="1"/>
  <c r="H91" i="4"/>
  <c r="D85" i="14" s="1"/>
  <c r="H92" i="4"/>
  <c r="D86" i="14" s="1"/>
  <c r="H93" i="4"/>
  <c r="H94" i="4"/>
  <c r="D88" i="14" s="1"/>
  <c r="H95" i="4"/>
  <c r="D89" i="14" s="1"/>
  <c r="H96" i="4"/>
  <c r="D90" i="14" s="1"/>
  <c r="H97" i="4"/>
  <c r="D91" i="14" s="1"/>
  <c r="H98" i="4"/>
  <c r="D92" i="14" s="1"/>
  <c r="H99" i="4"/>
  <c r="D93" i="14" s="1"/>
  <c r="H100" i="4"/>
  <c r="D94" i="14" s="1"/>
  <c r="H102" i="4"/>
  <c r="D96" i="14" s="1"/>
  <c r="H104" i="4"/>
  <c r="D98" i="14" s="1"/>
  <c r="H107" i="4"/>
  <c r="D101" i="14" s="1"/>
  <c r="H108" i="4"/>
  <c r="D102" i="14" s="1"/>
  <c r="H109" i="4"/>
  <c r="D103" i="14" s="1"/>
  <c r="H110" i="4"/>
  <c r="D104" i="14" s="1"/>
  <c r="H111" i="4"/>
  <c r="D105" i="14" s="1"/>
  <c r="H112" i="4"/>
  <c r="D106" i="14" s="1"/>
  <c r="H113" i="4"/>
  <c r="D107" i="14" s="1"/>
  <c r="H114" i="4"/>
  <c r="D108" i="14" s="1"/>
  <c r="H115" i="4"/>
  <c r="D109" i="14" s="1"/>
  <c r="H78" i="4"/>
  <c r="H79" i="4"/>
  <c r="D73" i="14" s="1"/>
  <c r="H80" i="4"/>
  <c r="H74" i="4"/>
  <c r="D68" i="14" s="1"/>
  <c r="I119" i="4"/>
  <c r="E114" i="14" s="1"/>
  <c r="I95" i="4"/>
  <c r="E89" i="14" s="1"/>
  <c r="I128" i="4" l="1"/>
  <c r="E123" i="14" s="1"/>
  <c r="I127" i="4"/>
  <c r="E122" i="14" s="1"/>
  <c r="I104" i="4"/>
  <c r="E98" i="14" s="1"/>
  <c r="I87" i="4"/>
  <c r="E81" i="14" s="1"/>
  <c r="I125" i="4"/>
  <c r="E120" i="14" s="1"/>
  <c r="I124" i="4"/>
  <c r="E119" i="14" s="1"/>
  <c r="I123" i="4"/>
  <c r="E118" i="14" s="1"/>
  <c r="I121" i="4"/>
  <c r="E116" i="14" s="1"/>
  <c r="I120" i="4"/>
  <c r="E115" i="14" s="1"/>
  <c r="I115" i="4"/>
  <c r="E109" i="14" s="1"/>
  <c r="I114" i="4"/>
  <c r="E108" i="14" s="1"/>
  <c r="I111" i="4"/>
  <c r="E105" i="14" s="1"/>
  <c r="I108" i="4"/>
  <c r="E102" i="14" s="1"/>
  <c r="I100" i="4"/>
  <c r="E94" i="14" s="1"/>
  <c r="I99" i="4"/>
  <c r="E93" i="14" s="1"/>
  <c r="I98" i="4"/>
  <c r="E92" i="14" s="1"/>
  <c r="I94" i="4"/>
  <c r="E88" i="14" s="1"/>
  <c r="I91" i="4"/>
  <c r="E85" i="14" s="1"/>
  <c r="I88" i="4"/>
  <c r="E82" i="14" s="1"/>
  <c r="I86" i="4"/>
  <c r="E80" i="14" s="1"/>
  <c r="I83" i="4"/>
  <c r="E77" i="14" s="1"/>
  <c r="I107" i="4"/>
  <c r="E101" i="14" s="1"/>
  <c r="I79" i="4"/>
  <c r="E73" i="14" s="1"/>
  <c r="I116" i="4"/>
  <c r="E111" i="14" s="1"/>
  <c r="D111" i="14"/>
  <c r="I84" i="4"/>
  <c r="E78" i="14" s="1"/>
  <c r="I96" i="4"/>
  <c r="E90" i="14" s="1"/>
  <c r="I112" i="4"/>
  <c r="E106" i="14" s="1"/>
  <c r="I118" i="4"/>
  <c r="E113" i="14" s="1"/>
  <c r="I122" i="4"/>
  <c r="E117" i="14" s="1"/>
  <c r="I126" i="4"/>
  <c r="E121" i="14" s="1"/>
  <c r="I92" i="4"/>
  <c r="E86" i="14" s="1"/>
  <c r="I85" i="4"/>
  <c r="E79" i="14" s="1"/>
  <c r="I81" i="4"/>
  <c r="E75" i="14" s="1"/>
  <c r="I113" i="4"/>
  <c r="E107" i="14" s="1"/>
  <c r="I78" i="4"/>
  <c r="E72" i="14" s="1"/>
  <c r="D72" i="14"/>
  <c r="I89" i="4"/>
  <c r="E83" i="14" s="1"/>
  <c r="I97" i="4"/>
  <c r="E91" i="14" s="1"/>
  <c r="I102" i="4"/>
  <c r="E96" i="14" s="1"/>
  <c r="I109" i="4"/>
  <c r="E103" i="14" s="1"/>
  <c r="I117" i="4"/>
  <c r="E112" i="14" s="1"/>
  <c r="I110" i="4"/>
  <c r="E104" i="14" s="1"/>
  <c r="I93" i="4"/>
  <c r="E87" i="14" s="1"/>
  <c r="D87" i="14"/>
  <c r="I90" i="4"/>
  <c r="E84" i="14" s="1"/>
  <c r="I82" i="4"/>
  <c r="E76" i="14" s="1"/>
  <c r="D76" i="14"/>
  <c r="I80" i="4"/>
  <c r="E74" i="14" s="1"/>
  <c r="D74" i="14"/>
  <c r="I74" i="4"/>
  <c r="E68" i="14" s="1"/>
  <c r="I76" i="4"/>
  <c r="G30" i="6"/>
  <c r="G24" i="6"/>
  <c r="E243" i="14" s="1"/>
  <c r="G23" i="6"/>
  <c r="E242" i="14" s="1"/>
  <c r="G22" i="6"/>
  <c r="E241" i="14" s="1"/>
  <c r="G21" i="6"/>
  <c r="E240" i="14" s="1"/>
  <c r="G20" i="6"/>
  <c r="E239" i="14" s="1"/>
  <c r="G19" i="6"/>
  <c r="E238" i="14" s="1"/>
  <c r="G18" i="6"/>
  <c r="E237" i="14" s="1"/>
  <c r="G17" i="6"/>
  <c r="E236" i="14" s="1"/>
  <c r="G16" i="6"/>
  <c r="E235" i="14" s="1"/>
  <c r="G15" i="6"/>
  <c r="E234" i="14" s="1"/>
  <c r="G14" i="6"/>
  <c r="E233" i="14" s="1"/>
  <c r="G13" i="6"/>
  <c r="E232" i="14" s="1"/>
  <c r="G12" i="6"/>
  <c r="E231" i="14" s="1"/>
  <c r="G11" i="6"/>
  <c r="E230" i="14" s="1"/>
  <c r="G10" i="6"/>
  <c r="E229" i="14" s="1"/>
  <c r="G9" i="6"/>
  <c r="E228" i="14" s="1"/>
  <c r="G8" i="6"/>
  <c r="E227" i="14" s="1"/>
  <c r="G7" i="6"/>
  <c r="E226" i="14" s="1"/>
  <c r="G6" i="6"/>
  <c r="E225" i="14" s="1"/>
  <c r="G5" i="6"/>
  <c r="E224" i="14" s="1"/>
  <c r="G4" i="6"/>
  <c r="E223" i="14" s="1"/>
  <c r="E244" i="14" l="1"/>
  <c r="E70" i="14"/>
  <c r="G25" i="6"/>
  <c r="D55" i="5" l="1"/>
  <c r="D63" i="10" s="1"/>
  <c r="G14" i="1"/>
  <c r="H14" i="1" s="1"/>
  <c r="F15" i="8"/>
  <c r="F11" i="7"/>
  <c r="F12" i="7"/>
  <c r="F14" i="7"/>
  <c r="F15" i="7"/>
  <c r="D160" i="14"/>
  <c r="G101" i="7"/>
  <c r="E178" i="14" s="1"/>
  <c r="I64" i="4"/>
  <c r="I63" i="4"/>
  <c r="I62" i="4"/>
  <c r="I61" i="4"/>
  <c r="I60" i="4"/>
  <c r="I59" i="4"/>
  <c r="I58" i="4"/>
  <c r="I57" i="4"/>
  <c r="I56" i="4"/>
  <c r="I55" i="4"/>
  <c r="I54" i="4"/>
  <c r="I53" i="4"/>
  <c r="I52" i="4"/>
  <c r="B37" i="5"/>
  <c r="B48" i="10" s="1"/>
  <c r="G107" i="1"/>
  <c r="G108" i="1"/>
  <c r="G109" i="1"/>
  <c r="G106" i="1"/>
  <c r="G92" i="1"/>
  <c r="G93" i="1"/>
  <c r="G94" i="1"/>
  <c r="G97" i="1"/>
  <c r="G98" i="1"/>
  <c r="G99" i="1"/>
  <c r="G100" i="1"/>
  <c r="H105" i="1"/>
  <c r="E29" i="14" s="1"/>
  <c r="G91" i="1"/>
  <c r="G82" i="1"/>
  <c r="G83" i="1"/>
  <c r="G84" i="1"/>
  <c r="G90" i="1"/>
  <c r="G79" i="1"/>
  <c r="H18" i="1"/>
  <c r="H17" i="1"/>
  <c r="H12" i="1"/>
  <c r="H13" i="1"/>
  <c r="H63" i="1"/>
  <c r="H66" i="1"/>
  <c r="H65" i="1"/>
  <c r="H64" i="1"/>
  <c r="G77" i="2"/>
  <c r="J77" i="2" s="1"/>
  <c r="G76" i="2"/>
  <c r="G75" i="2"/>
  <c r="J75" i="2" s="1"/>
  <c r="G70" i="2"/>
  <c r="J70" i="2" s="1"/>
  <c r="G72" i="2"/>
  <c r="J72" i="2" s="1"/>
  <c r="G68" i="2"/>
  <c r="J68" i="2" s="1"/>
  <c r="G67" i="2"/>
  <c r="J67" i="2" s="1"/>
  <c r="G32" i="6"/>
  <c r="E246" i="14" s="1"/>
  <c r="G31" i="6"/>
  <c r="I17" i="4"/>
  <c r="I14" i="4"/>
  <c r="I9" i="4"/>
  <c r="I8" i="4"/>
  <c r="I45" i="4"/>
  <c r="I44" i="4"/>
  <c r="I43" i="4"/>
  <c r="I42" i="4"/>
  <c r="I41" i="4"/>
  <c r="I40" i="4"/>
  <c r="I39" i="4"/>
  <c r="I38" i="4"/>
  <c r="I37" i="4"/>
  <c r="I34" i="4"/>
  <c r="I32" i="4"/>
  <c r="I30" i="4"/>
  <c r="I29" i="4"/>
  <c r="I28" i="4"/>
  <c r="I27" i="4"/>
  <c r="I26" i="4"/>
  <c r="I25" i="4"/>
  <c r="I24" i="4"/>
  <c r="I23" i="4"/>
  <c r="I22" i="4"/>
  <c r="I21" i="4"/>
  <c r="I20" i="4"/>
  <c r="I19" i="4"/>
  <c r="I18" i="4"/>
  <c r="I16" i="4"/>
  <c r="I15" i="4"/>
  <c r="I13" i="4"/>
  <c r="I12" i="4"/>
  <c r="I11" i="4"/>
  <c r="I10" i="4"/>
  <c r="I6" i="4"/>
  <c r="I4" i="4"/>
  <c r="H60" i="1"/>
  <c r="G69" i="2"/>
  <c r="J69" i="2" s="1"/>
  <c r="H58" i="1"/>
  <c r="H35" i="1"/>
  <c r="H34" i="1"/>
  <c r="H33" i="1"/>
  <c r="H32" i="1"/>
  <c r="H28" i="1"/>
  <c r="H27" i="1"/>
  <c r="H26" i="1"/>
  <c r="H25" i="1"/>
  <c r="G8" i="1"/>
  <c r="H7" i="1"/>
  <c r="H15" i="1"/>
  <c r="H11" i="1"/>
  <c r="H10" i="1"/>
  <c r="H9" i="1"/>
  <c r="H16" i="1"/>
  <c r="H44" i="1"/>
  <c r="H45" i="1"/>
  <c r="H46" i="1"/>
  <c r="H47" i="1"/>
  <c r="D42" i="5" l="1"/>
  <c r="D5" i="5"/>
  <c r="D61" i="14"/>
  <c r="J76" i="2"/>
  <c r="H8" i="1"/>
  <c r="H21" i="1" s="1"/>
  <c r="G89" i="1"/>
  <c r="D13" i="14" s="1"/>
  <c r="G103" i="7"/>
  <c r="E180" i="14" s="1"/>
  <c r="G83" i="7"/>
  <c r="E160" i="14" s="1"/>
  <c r="G50" i="2"/>
  <c r="G59" i="2" s="1"/>
  <c r="H76" i="2"/>
  <c r="D31" i="5" s="1"/>
  <c r="H70" i="2"/>
  <c r="D55" i="14"/>
  <c r="H77" i="2"/>
  <c r="D62" i="14"/>
  <c r="H72" i="2"/>
  <c r="D57" i="14"/>
  <c r="D60" i="14"/>
  <c r="H67" i="2"/>
  <c r="D52" i="14"/>
  <c r="D54" i="14"/>
  <c r="D53" i="14"/>
  <c r="E245" i="14"/>
  <c r="G34" i="6"/>
  <c r="D56" i="5" s="1"/>
  <c r="G108" i="7"/>
  <c r="E185" i="14" s="1"/>
  <c r="G102" i="7"/>
  <c r="E179" i="14" s="1"/>
  <c r="G84" i="7"/>
  <c r="E161" i="14" s="1"/>
  <c r="D161" i="14"/>
  <c r="E128" i="14"/>
  <c r="D128" i="14"/>
  <c r="G105" i="7"/>
  <c r="E182" i="14" s="1"/>
  <c r="E126" i="14"/>
  <c r="D126" i="14"/>
  <c r="G82" i="7"/>
  <c r="E159" i="14" s="1"/>
  <c r="D159" i="14"/>
  <c r="G104" i="7"/>
  <c r="E181" i="14" s="1"/>
  <c r="E162" i="14"/>
  <c r="D162" i="14"/>
  <c r="G81" i="7"/>
  <c r="E158" i="14" s="1"/>
  <c r="D158" i="14"/>
  <c r="E129" i="14"/>
  <c r="D129" i="14"/>
  <c r="G80" i="7"/>
  <c r="E157" i="14" s="1"/>
  <c r="D157" i="14"/>
  <c r="G48" i="7"/>
  <c r="G79" i="7" s="1"/>
  <c r="D125" i="14"/>
  <c r="D51" i="14"/>
  <c r="H98" i="1"/>
  <c r="E22" i="14" s="1"/>
  <c r="D22" i="14"/>
  <c r="H92" i="1"/>
  <c r="E16" i="14" s="1"/>
  <c r="D16" i="14"/>
  <c r="H90" i="1"/>
  <c r="E14" i="14" s="1"/>
  <c r="D14" i="14"/>
  <c r="H79" i="1"/>
  <c r="E3" i="14" s="1"/>
  <c r="D3" i="14"/>
  <c r="H83" i="1"/>
  <c r="E7" i="14" s="1"/>
  <c r="D7" i="14"/>
  <c r="E5" i="14"/>
  <c r="D5" i="14"/>
  <c r="H93" i="1"/>
  <c r="E17" i="14" s="1"/>
  <c r="D17" i="14"/>
  <c r="H108" i="1"/>
  <c r="E32" i="14" s="1"/>
  <c r="D32" i="14"/>
  <c r="H88" i="1"/>
  <c r="E12" i="14" s="1"/>
  <c r="H100" i="1"/>
  <c r="E24" i="14" s="1"/>
  <c r="D24" i="14"/>
  <c r="H107" i="1"/>
  <c r="E31" i="14" s="1"/>
  <c r="D31" i="14"/>
  <c r="H99" i="1"/>
  <c r="E23" i="14" s="1"/>
  <c r="D23" i="14"/>
  <c r="H97" i="1"/>
  <c r="E21" i="14" s="1"/>
  <c r="D21" i="14"/>
  <c r="H106" i="1"/>
  <c r="E30" i="14" s="1"/>
  <c r="D30" i="14"/>
  <c r="H82" i="1"/>
  <c r="E6" i="14" s="1"/>
  <c r="D6" i="14"/>
  <c r="H87" i="1"/>
  <c r="E11" i="14" s="1"/>
  <c r="H91" i="1"/>
  <c r="E15" i="14" s="1"/>
  <c r="D15" i="14"/>
  <c r="H84" i="1"/>
  <c r="E8" i="14" s="1"/>
  <c r="D8" i="14"/>
  <c r="H94" i="1"/>
  <c r="E18" i="14" s="1"/>
  <c r="D18" i="14"/>
  <c r="H109" i="1"/>
  <c r="E33" i="14" s="1"/>
  <c r="D33" i="14"/>
  <c r="H112" i="1"/>
  <c r="E36" i="14" s="1"/>
  <c r="D36" i="14"/>
  <c r="E34" i="14"/>
  <c r="D34" i="14"/>
  <c r="H113" i="1"/>
  <c r="E37" i="14" s="1"/>
  <c r="D37" i="14"/>
  <c r="H111" i="1"/>
  <c r="E35" i="14" s="1"/>
  <c r="D35" i="14"/>
  <c r="H80" i="1"/>
  <c r="E4" i="14" s="1"/>
  <c r="D4" i="14"/>
  <c r="F26" i="8"/>
  <c r="F42" i="7"/>
  <c r="D48" i="5" s="1"/>
  <c r="D57" i="10" s="1"/>
  <c r="J64" i="2"/>
  <c r="D66" i="11"/>
  <c r="H66" i="11" s="1"/>
  <c r="H68" i="2"/>
  <c r="F63" i="10"/>
  <c r="B51" i="11"/>
  <c r="H48" i="1"/>
  <c r="D8" i="5" s="1"/>
  <c r="H40" i="1"/>
  <c r="D7" i="5" s="1"/>
  <c r="D43" i="5"/>
  <c r="I7" i="4"/>
  <c r="I47" i="4" s="1"/>
  <c r="H77" i="4"/>
  <c r="I66" i="4"/>
  <c r="D44" i="5" s="1"/>
  <c r="H75" i="2"/>
  <c r="E60" i="14" s="1"/>
  <c r="H66" i="2"/>
  <c r="H69" i="2"/>
  <c r="H59" i="1"/>
  <c r="H68" i="1" s="1"/>
  <c r="D6" i="5" l="1"/>
  <c r="D24" i="11" s="1"/>
  <c r="H89" i="1"/>
  <c r="E13" i="14" s="1"/>
  <c r="G51" i="2"/>
  <c r="G52" i="2" s="1"/>
  <c r="G60" i="2" s="1"/>
  <c r="J50" i="2"/>
  <c r="F40" i="2"/>
  <c r="D60" i="10"/>
  <c r="F60" i="10" s="1"/>
  <c r="D58" i="10"/>
  <c r="F58" i="10" s="1"/>
  <c r="D39" i="14"/>
  <c r="G37" i="6"/>
  <c r="D41" i="5"/>
  <c r="D54" i="11" s="1"/>
  <c r="E51" i="14"/>
  <c r="D59" i="10"/>
  <c r="F59" i="10" s="1"/>
  <c r="G111" i="7"/>
  <c r="E125" i="14"/>
  <c r="I68" i="4"/>
  <c r="D46" i="11"/>
  <c r="F46" i="11" s="1"/>
  <c r="D43" i="10"/>
  <c r="F43" i="10" s="1"/>
  <c r="E61" i="14"/>
  <c r="D32" i="5"/>
  <c r="E62" i="14"/>
  <c r="D22" i="5"/>
  <c r="D38" i="11" s="1"/>
  <c r="E54" i="14"/>
  <c r="D21" i="5"/>
  <c r="D34" i="10" s="1"/>
  <c r="F34" i="10" s="1"/>
  <c r="E53" i="14"/>
  <c r="D20" i="5"/>
  <c r="E52" i="14"/>
  <c r="D25" i="5"/>
  <c r="E57" i="14"/>
  <c r="D23" i="5"/>
  <c r="E55" i="14"/>
  <c r="D67" i="11"/>
  <c r="F67" i="11" s="1"/>
  <c r="D64" i="10"/>
  <c r="F64" i="10" s="1"/>
  <c r="F65" i="10" s="1"/>
  <c r="D57" i="5"/>
  <c r="I77" i="4"/>
  <c r="D71" i="14"/>
  <c r="D49" i="14"/>
  <c r="D9" i="5"/>
  <c r="D24" i="10" s="1"/>
  <c r="F24" i="10" s="1"/>
  <c r="H64" i="2"/>
  <c r="D30" i="5"/>
  <c r="F66" i="11"/>
  <c r="I66" i="11" s="1"/>
  <c r="F57" i="10"/>
  <c r="D53" i="10"/>
  <c r="F53" i="10" s="1"/>
  <c r="D56" i="11"/>
  <c r="D52" i="10"/>
  <c r="F52" i="10" s="1"/>
  <c r="D55" i="11"/>
  <c r="D54" i="10"/>
  <c r="F54" i="10" s="1"/>
  <c r="D57" i="11"/>
  <c r="D22" i="10"/>
  <c r="F22" i="10" s="1"/>
  <c r="D25" i="11"/>
  <c r="D20" i="10"/>
  <c r="F20" i="10" s="1"/>
  <c r="D23" i="11"/>
  <c r="D23" i="10"/>
  <c r="F23" i="10" s="1"/>
  <c r="D26" i="11"/>
  <c r="D60" i="11"/>
  <c r="D19" i="5"/>
  <c r="H50" i="1"/>
  <c r="H50" i="2"/>
  <c r="E39" i="14" s="1"/>
  <c r="D21" i="10" l="1"/>
  <c r="F21" i="10" s="1"/>
  <c r="F24" i="11"/>
  <c r="H24" i="11"/>
  <c r="D44" i="14"/>
  <c r="J59" i="2"/>
  <c r="G53" i="2"/>
  <c r="J52" i="2"/>
  <c r="D27" i="5"/>
  <c r="D63" i="11"/>
  <c r="F63" i="11" s="1"/>
  <c r="D61" i="11"/>
  <c r="F61" i="11" s="1"/>
  <c r="D62" i="11"/>
  <c r="F62" i="11" s="1"/>
  <c r="D37" i="11"/>
  <c r="H37" i="11" s="1"/>
  <c r="D10" i="5"/>
  <c r="D51" i="10"/>
  <c r="F51" i="10" s="1"/>
  <c r="F55" i="10" s="1"/>
  <c r="D45" i="5"/>
  <c r="D61" i="10"/>
  <c r="D52" i="5"/>
  <c r="F61" i="10"/>
  <c r="D27" i="11"/>
  <c r="H27" i="11" s="1"/>
  <c r="H67" i="11"/>
  <c r="H68" i="11" s="1"/>
  <c r="D68" i="11"/>
  <c r="G114" i="7"/>
  <c r="H46" i="11"/>
  <c r="J46" i="11" s="1"/>
  <c r="D33" i="10"/>
  <c r="F33" i="10" s="1"/>
  <c r="D36" i="11"/>
  <c r="D35" i="10"/>
  <c r="F35" i="10" s="1"/>
  <c r="D36" i="10"/>
  <c r="F36" i="10" s="1"/>
  <c r="D39" i="11"/>
  <c r="D41" i="11"/>
  <c r="D38" i="10"/>
  <c r="F38" i="10" s="1"/>
  <c r="D44" i="10"/>
  <c r="F44" i="10" s="1"/>
  <c r="D47" i="11"/>
  <c r="D65" i="10"/>
  <c r="E71" i="14"/>
  <c r="I130" i="4"/>
  <c r="H114" i="1"/>
  <c r="D15" i="5"/>
  <c r="D29" i="10" s="1"/>
  <c r="F29" i="10" s="1"/>
  <c r="E49" i="14"/>
  <c r="F68" i="11"/>
  <c r="D45" i="11"/>
  <c r="D42" i="10"/>
  <c r="D32" i="10"/>
  <c r="J66" i="11"/>
  <c r="D58" i="11"/>
  <c r="F25" i="10"/>
  <c r="I46" i="11"/>
  <c r="F55" i="11"/>
  <c r="H55" i="11"/>
  <c r="F56" i="11"/>
  <c r="H56" i="11"/>
  <c r="H54" i="11"/>
  <c r="F54" i="11"/>
  <c r="F57" i="11"/>
  <c r="H57" i="11"/>
  <c r="F38" i="11"/>
  <c r="H38" i="11"/>
  <c r="D25" i="10"/>
  <c r="F23" i="11"/>
  <c r="H23" i="11"/>
  <c r="F26" i="11"/>
  <c r="H26" i="11"/>
  <c r="F25" i="11"/>
  <c r="H25" i="11"/>
  <c r="F60" i="11"/>
  <c r="H60" i="11"/>
  <c r="D35" i="11"/>
  <c r="J51" i="2"/>
  <c r="H59" i="2"/>
  <c r="E44" i="14" s="1"/>
  <c r="I24" i="11" l="1"/>
  <c r="J24" i="11"/>
  <c r="H62" i="11"/>
  <c r="J62" i="11" s="1"/>
  <c r="I62" i="11"/>
  <c r="D43" i="11"/>
  <c r="D40" i="10"/>
  <c r="H63" i="11"/>
  <c r="J63" i="11" s="1"/>
  <c r="H61" i="11"/>
  <c r="J61" i="11" s="1"/>
  <c r="D64" i="11"/>
  <c r="D55" i="10"/>
  <c r="F37" i="11"/>
  <c r="I37" i="11" s="1"/>
  <c r="F27" i="11"/>
  <c r="F28" i="11" s="1"/>
  <c r="D28" i="11"/>
  <c r="J67" i="11"/>
  <c r="J68" i="11" s="1"/>
  <c r="I67" i="11"/>
  <c r="F41" i="11"/>
  <c r="H41" i="11"/>
  <c r="F36" i="11"/>
  <c r="H36" i="11"/>
  <c r="F47" i="11"/>
  <c r="H47" i="11"/>
  <c r="F39" i="11"/>
  <c r="H39" i="11"/>
  <c r="D32" i="11"/>
  <c r="F32" i="11" s="1"/>
  <c r="H45" i="11"/>
  <c r="F45" i="11"/>
  <c r="F42" i="10"/>
  <c r="F32" i="10"/>
  <c r="F40" i="10" s="1"/>
  <c r="F58" i="11"/>
  <c r="I57" i="11"/>
  <c r="I60" i="11"/>
  <c r="F64" i="11"/>
  <c r="I56" i="11"/>
  <c r="I38" i="11"/>
  <c r="I55" i="11"/>
  <c r="J26" i="11"/>
  <c r="I26" i="11"/>
  <c r="I25" i="11"/>
  <c r="H58" i="11"/>
  <c r="I54" i="11"/>
  <c r="I23" i="11"/>
  <c r="J55" i="11"/>
  <c r="J56" i="11"/>
  <c r="J54" i="11"/>
  <c r="J57" i="11"/>
  <c r="J38" i="11"/>
  <c r="J25" i="11"/>
  <c r="J23" i="11"/>
  <c r="H28" i="11"/>
  <c r="J60" i="11"/>
  <c r="H35" i="11"/>
  <c r="F35" i="11"/>
  <c r="D45" i="14" l="1"/>
  <c r="J60" i="2"/>
  <c r="I63" i="11"/>
  <c r="F43" i="11"/>
  <c r="I61" i="11"/>
  <c r="H64" i="11"/>
  <c r="H43" i="11"/>
  <c r="J37" i="11"/>
  <c r="J27" i="11"/>
  <c r="J28" i="11" s="1"/>
  <c r="I27" i="11"/>
  <c r="J39" i="11"/>
  <c r="I39" i="11"/>
  <c r="J36" i="11"/>
  <c r="I36" i="11"/>
  <c r="J47" i="11"/>
  <c r="I47" i="11"/>
  <c r="I41" i="11"/>
  <c r="J41" i="11"/>
  <c r="H32" i="11"/>
  <c r="I32" i="11" s="1"/>
  <c r="J45" i="11"/>
  <c r="I45" i="11"/>
  <c r="J64" i="11"/>
  <c r="J58" i="11"/>
  <c r="I35" i="11"/>
  <c r="J35" i="11"/>
  <c r="H60" i="2"/>
  <c r="E45" i="14" s="1"/>
  <c r="J43" i="11" l="1"/>
  <c r="J32" i="11"/>
  <c r="H78" i="2" l="1"/>
  <c r="E63" i="14" s="1"/>
  <c r="D40" i="14"/>
  <c r="G54" i="2"/>
  <c r="H52" i="2"/>
  <c r="E40" i="14" s="1"/>
  <c r="J54" i="2" l="1"/>
  <c r="G61" i="2"/>
  <c r="J61" i="2" s="1"/>
  <c r="G55" i="2"/>
  <c r="F41" i="2"/>
  <c r="D33" i="5"/>
  <c r="H54" i="2"/>
  <c r="D41" i="14"/>
  <c r="J53" i="2"/>
  <c r="H61" i="2" l="1"/>
  <c r="D46" i="14"/>
  <c r="D48" i="11"/>
  <c r="D45" i="10"/>
  <c r="D35" i="5"/>
  <c r="J55" i="2"/>
  <c r="G56" i="2"/>
  <c r="G62" i="2" s="1"/>
  <c r="E41" i="14"/>
  <c r="J62" i="2" l="1"/>
  <c r="J56" i="2"/>
  <c r="D47" i="14"/>
  <c r="E46" i="14"/>
  <c r="G57" i="2"/>
  <c r="J57" i="2" s="1"/>
  <c r="G58" i="2"/>
  <c r="G63" i="2" s="1"/>
  <c r="F45" i="10"/>
  <c r="F47" i="10" s="1"/>
  <c r="D47" i="10"/>
  <c r="D50" i="11"/>
  <c r="H48" i="11"/>
  <c r="H50" i="11" s="1"/>
  <c r="F48" i="11"/>
  <c r="H56" i="2"/>
  <c r="D42" i="14"/>
  <c r="H62" i="2" l="1"/>
  <c r="E47" i="14" s="1"/>
  <c r="J63" i="2"/>
  <c r="J58" i="2"/>
  <c r="E42" i="14"/>
  <c r="I48" i="11"/>
  <c r="F50" i="11"/>
  <c r="I50" i="11" s="1"/>
  <c r="J48" i="11"/>
  <c r="J50" i="11" s="1"/>
  <c r="H58" i="2"/>
  <c r="E43" i="14" s="1"/>
  <c r="D43" i="14"/>
  <c r="H63" i="2" l="1"/>
  <c r="H81" i="2" s="1"/>
  <c r="D48" i="14"/>
  <c r="J81" i="2"/>
  <c r="J85" i="2" s="1"/>
  <c r="D13" i="5"/>
  <c r="D30" i="11" s="1"/>
  <c r="D14" i="5" l="1"/>
  <c r="D28" i="10" s="1"/>
  <c r="F28" i="10" s="1"/>
  <c r="F39" i="2"/>
  <c r="E48" i="14"/>
  <c r="H87" i="2"/>
  <c r="F42" i="2" s="1"/>
  <c r="G85" i="2"/>
  <c r="D66" i="14" s="1"/>
  <c r="D27" i="10"/>
  <c r="F27" i="10" s="1"/>
  <c r="F30" i="11"/>
  <c r="H30" i="11"/>
  <c r="D16" i="5" l="1"/>
  <c r="D31" i="11"/>
  <c r="D33" i="11" s="1"/>
  <c r="F43" i="2"/>
  <c r="D38" i="5"/>
  <c r="D49" i="10" s="1"/>
  <c r="F48" i="10" s="1"/>
  <c r="H85" i="2"/>
  <c r="E66" i="14" s="1"/>
  <c r="E248" i="14" s="1"/>
  <c r="D30" i="10"/>
  <c r="F30" i="10"/>
  <c r="J30" i="11"/>
  <c r="I30" i="11"/>
  <c r="F31" i="11" l="1"/>
  <c r="F33" i="11" s="1"/>
  <c r="H31" i="11"/>
  <c r="H33" i="11" s="1"/>
  <c r="F49" i="10"/>
  <c r="F74" i="10" s="1"/>
  <c r="D74" i="10"/>
  <c r="D51" i="11"/>
  <c r="D52" i="11" s="1"/>
  <c r="D77" i="11" s="1"/>
  <c r="D48" i="10"/>
  <c r="D2" i="5"/>
  <c r="I31" i="11" l="1"/>
  <c r="J31" i="11"/>
  <c r="J33" i="11" s="1"/>
  <c r="F51" i="11"/>
  <c r="F52" i="11" s="1"/>
  <c r="F77" i="11" s="1"/>
  <c r="H51" i="11"/>
  <c r="H52" i="11" s="1"/>
  <c r="H77" i="11" s="1"/>
  <c r="I51" i="11" l="1"/>
  <c r="J51" i="11"/>
  <c r="J52" i="11" s="1"/>
  <c r="J77" i="11" s="1"/>
</calcChain>
</file>

<file path=xl/comments1.xml><?xml version="1.0" encoding="utf-8"?>
<comments xmlns="http://schemas.openxmlformats.org/spreadsheetml/2006/main">
  <authors>
    <author>Philipp Truckenmüller</author>
  </authors>
  <commentList>
    <comment ref="E35" authorId="0">
      <text>
        <r>
          <rPr>
            <sz val="9"/>
            <color indexed="81"/>
            <rFont val="Tahoma"/>
            <family val="2"/>
          </rPr>
          <t>Beware: The key module is delivered without base</t>
        </r>
      </text>
    </comment>
    <comment ref="E36" authorId="0">
      <text>
        <r>
          <rPr>
            <sz val="9"/>
            <color indexed="81"/>
            <rFont val="Tahoma"/>
            <family val="2"/>
          </rPr>
          <t>Beware: The key module is delivered without base</t>
        </r>
      </text>
    </comment>
    <comment ref="D56" authorId="0">
      <text>
        <r>
          <rPr>
            <b/>
            <sz val="9"/>
            <color indexed="81"/>
            <rFont val="Tahoma"/>
            <family val="2"/>
          </rPr>
          <t xml:space="preserve">Please choose "Yes" or "No", the suitable amount of PSUs will be calculated automatically </t>
        </r>
      </text>
    </comment>
    <comment ref="E59" authorId="0">
      <text>
        <r>
          <rPr>
            <b/>
            <sz val="9"/>
            <color indexed="81"/>
            <rFont val="Tahoma"/>
            <charset val="1"/>
          </rPr>
          <t>While stocks last</t>
        </r>
      </text>
    </comment>
    <comment ref="D62" authorId="0">
      <text>
        <r>
          <rPr>
            <b/>
            <sz val="9"/>
            <color indexed="81"/>
            <rFont val="Tahoma"/>
            <family val="2"/>
          </rPr>
          <t>Please put in the amount of Power Supply Units manually</t>
        </r>
      </text>
    </comment>
    <comment ref="E64" authorId="0">
      <text>
        <r>
          <rPr>
            <b/>
            <sz val="9"/>
            <color indexed="81"/>
            <rFont val="Tahoma"/>
            <charset val="1"/>
          </rPr>
          <t>While stocks last</t>
        </r>
      </text>
    </comment>
  </commentList>
</comments>
</file>

<file path=xl/comments2.xml><?xml version="1.0" encoding="utf-8"?>
<comments xmlns="http://schemas.openxmlformats.org/spreadsheetml/2006/main">
  <authors>
    <author>Philipp Truckenmüller</author>
  </authors>
  <commentList>
    <comment ref="C5" authorId="0">
      <text>
        <r>
          <rPr>
            <sz val="11"/>
            <color indexed="81"/>
            <rFont val="Tahoma"/>
            <family val="2"/>
          </rPr>
          <t>*If you already know the amount of PBX Port Licenses in detail, please put in here! 
If not, choose Alternative B!</t>
        </r>
      </text>
    </comment>
    <comment ref="C7" authorId="0">
      <text>
        <r>
          <rPr>
            <sz val="11"/>
            <color indexed="81"/>
            <rFont val="Tahoma"/>
            <family val="2"/>
          </rPr>
          <t xml:space="preserve">*Please use Alternative B only when Alternative A is "0" </t>
        </r>
      </text>
    </comment>
    <comment ref="C13" authorId="0">
      <text>
        <r>
          <rPr>
            <sz val="10"/>
            <color indexed="81"/>
            <rFont val="Tahoma"/>
            <family val="2"/>
          </rPr>
          <t>*Für redundancy scenarios
Beware: The amount of Standby Licenses must be equal to the amount of PBX Port licenses</t>
        </r>
      </text>
    </comment>
    <comment ref="C14" authorId="0">
      <text>
        <r>
          <rPr>
            <sz val="10"/>
            <color indexed="81"/>
            <rFont val="Tahoma"/>
            <family val="2"/>
          </rPr>
          <t>*For using the innovaphone PBX on a VM Ware platform
Beware: The amount of IPVA licenses must be equal to the amount of PBX Port licenses</t>
        </r>
      </text>
    </comment>
    <comment ref="C17" authorId="0">
      <text>
        <r>
          <rPr>
            <sz val="10"/>
            <color indexed="81"/>
            <rFont val="Tahoma"/>
            <family val="2"/>
          </rPr>
          <t>A VoiceMail Lic should be calulated per extension, not per device</t>
        </r>
      </text>
    </comment>
    <comment ref="C19" authorId="0">
      <text>
        <r>
          <rPr>
            <sz val="10"/>
            <color indexed="81"/>
            <rFont val="Tahoma"/>
            <family val="2"/>
          </rPr>
          <t>Video needs the myPBX client as platform. Please consider!</t>
        </r>
      </text>
    </comment>
    <comment ref="C22" authorId="0">
      <text>
        <r>
          <rPr>
            <sz val="10"/>
            <color indexed="81"/>
            <rFont val="Tahoma"/>
            <family val="2"/>
          </rPr>
          <t>Application sharing needs the myPBX client as platform. Please consider!</t>
        </r>
      </text>
    </comment>
    <comment ref="C23" authorId="0">
      <text>
        <r>
          <rPr>
            <sz val="10"/>
            <color indexed="81"/>
            <rFont val="Tahoma"/>
            <family val="2"/>
          </rPr>
          <t>UC lic includes:
*VoiceMail
*myPBX
*Video
*Mobility
*Fax
*Application Sharing</t>
        </r>
      </text>
    </comment>
    <comment ref="C24" authorId="0">
      <text>
        <r>
          <rPr>
            <sz val="10"/>
            <color indexed="81"/>
            <rFont val="Tahoma"/>
            <family val="2"/>
          </rPr>
          <t>*It is needed per channel which you may use simultaneously via WebRTC</t>
        </r>
      </text>
    </comment>
    <comment ref="C31" authorId="0">
      <text>
        <r>
          <rPr>
            <b/>
            <sz val="9"/>
            <color indexed="81"/>
            <rFont val="Tahoma"/>
            <family val="2"/>
          </rPr>
          <t>For each Recording Lic a Reporting Lic is also needed.</t>
        </r>
      </text>
    </comment>
    <comment ref="D85" authorId="0">
      <text>
        <r>
          <rPr>
            <sz val="11"/>
            <color indexed="81"/>
            <rFont val="Tahoma"/>
            <family val="2"/>
          </rPr>
          <t>*Beware: Software Service is always calculated for all types of software (PBX licenses, UC licenses and Application licenses)</t>
        </r>
      </text>
    </comment>
    <comment ref="H87" authorId="0">
      <text>
        <r>
          <rPr>
            <sz val="11"/>
            <color indexed="81"/>
            <rFont val="Tahoma"/>
            <family val="2"/>
          </rPr>
          <t>*One Software Service Credit (SSC) has the value of 0,10 Euro</t>
        </r>
      </text>
    </comment>
  </commentList>
</comments>
</file>

<file path=xl/comments3.xml><?xml version="1.0" encoding="utf-8"?>
<comments xmlns="http://schemas.openxmlformats.org/spreadsheetml/2006/main">
  <authors>
    <author>Philipp Truckenmüller</author>
  </authors>
  <commentList>
    <comment ref="E7" authorId="0">
      <text>
        <r>
          <rPr>
            <sz val="10"/>
            <color indexed="81"/>
            <rFont val="Tahoma"/>
            <family val="2"/>
          </rPr>
          <t xml:space="preserve">*It's needed once per IP DECT installation and considered automatically </t>
        </r>
      </text>
    </comment>
  </commentList>
</comments>
</file>

<file path=xl/comments4.xml><?xml version="1.0" encoding="utf-8"?>
<comments xmlns="http://schemas.openxmlformats.org/spreadsheetml/2006/main">
  <authors>
    <author>Philipp Truckenmüller</author>
  </authors>
  <commentList>
    <comment ref="A66" authorId="0">
      <text>
        <r>
          <rPr>
            <b/>
            <sz val="9"/>
            <color indexed="81"/>
            <rFont val="Tahoma"/>
            <family val="2"/>
          </rPr>
          <t>Put in yourself please!</t>
        </r>
      </text>
    </comment>
  </commentList>
</comments>
</file>

<file path=xl/sharedStrings.xml><?xml version="1.0" encoding="utf-8"?>
<sst xmlns="http://schemas.openxmlformats.org/spreadsheetml/2006/main" count="1282" uniqueCount="941">
  <si>
    <t>IP62-GVL-purchase</t>
  </si>
  <si>
    <t>12-00500-014</t>
  </si>
  <si>
    <t>IP230-MOD-GVL-within warranty</t>
  </si>
  <si>
    <t>12-00500-015</t>
  </si>
  <si>
    <t>IP150-GVL-within warranty</t>
  </si>
  <si>
    <t>51-00060-001</t>
  </si>
  <si>
    <t>XCAPI Grundversion mit 2 Leitungen H.323 und SIP für VoIP-Signalisierung.</t>
  </si>
  <si>
    <t>51-00060-002</t>
  </si>
  <si>
    <t>XCAPI Erweiterung 2 Kanäle Erweiterung der XCAPI Grundversion um 2 weitere Leitungen.</t>
  </si>
  <si>
    <t>51-00060-004</t>
  </si>
  <si>
    <t>D81 DECT phone</t>
  </si>
  <si>
    <t>D81 ex. DECT phone</t>
  </si>
  <si>
    <t>IP DECT Ladegerät und Netzteil für D81 / D81 ex. EU</t>
  </si>
  <si>
    <t>IP DECT Ladegerät und Netzteil für D81 / I62 / D81 ex. UK</t>
  </si>
  <si>
    <t>Ersatzakku für D81</t>
  </si>
  <si>
    <t>Ersatzakku für D81 ex.</t>
  </si>
  <si>
    <t>Akkupack Öffner für D81 ex.</t>
  </si>
  <si>
    <t xml:space="preserve">IP DECT Mobiltelefon mit robustem Hartgummigehäuse (ohne Netzteil, Ladeschale und Gürtelclip) </t>
  </si>
  <si>
    <t>IP DECT Mobiltelefon mit robustem Hartgummigehäuse und explosionsgeschützt (ohne Netzteil, Ladeschale und Gürtelclip)</t>
  </si>
  <si>
    <t>02-00039-002</t>
  </si>
  <si>
    <t>02-00039-003</t>
  </si>
  <si>
    <t>02-00039-004</t>
  </si>
  <si>
    <t>02-00039-005</t>
  </si>
  <si>
    <t>02-00039-006</t>
  </si>
  <si>
    <t>ProCall 5</t>
  </si>
  <si>
    <t>ProCall 5 Enterprise 5 User</t>
  </si>
  <si>
    <t xml:space="preserve">ProCall 5 Enterprise, CTI-Applikation mit Unified Communications Merkmalen, 5 User </t>
  </si>
  <si>
    <t>ProCall 5 Enterprise 10 User</t>
  </si>
  <si>
    <t xml:space="preserve">ProCall 5 Enterprise, CTI-Applikation mit Unified Communications Merkmalen, 10 User </t>
  </si>
  <si>
    <t>ProCall 5 Enterprise 25 User</t>
  </si>
  <si>
    <t xml:space="preserve">ProCall 5 Enterprise, CTI-Applikation mit Unified Communications Merkmalen, 25 User </t>
  </si>
  <si>
    <t>ProCall 5 Enterprise 50 User</t>
  </si>
  <si>
    <t xml:space="preserve">ProCall 5 Enterprise, CTI-Applikation mit Unified Communications Merkmalen, 50 User </t>
  </si>
  <si>
    <t>ProCall 5 Enterprise 75 User</t>
  </si>
  <si>
    <t xml:space="preserve">ProCall 5 Enterprise, CTI-Applikation mit Unified Communications Merkmalen, 75 User </t>
  </si>
  <si>
    <t>ProCall 5 Enterprise 100 User</t>
  </si>
  <si>
    <t xml:space="preserve">ProCall 5 Enterprise, CTI-Applikation mit Unified Communications Merkmalen, 100 User </t>
  </si>
  <si>
    <t xml:space="preserve">ProCall 5 Enterprise, CTI-Applikation mit Unified Communications Merkmalen, Upgrade von Version 3.0 und 2.2 5 User </t>
  </si>
  <si>
    <t xml:space="preserve">ProCall 5 Enterprise, CTI-Applikation mit Unified Communications Merkmalen, Upgrade von Version 3.0 und 2.2 10 User </t>
  </si>
  <si>
    <t xml:space="preserve">ProCall 5 Enterprise, CTI-Applikation mit Unified Communications Merkmalen, Upgrade von Version 3.0 und 2.2 25 User </t>
  </si>
  <si>
    <t xml:space="preserve">ProCall 5 Enterprise, CTI-Applikation mit Unified Communications Merkmalen, Upgrade von Version 3.0 und 2.2 50 User </t>
  </si>
  <si>
    <t xml:space="preserve">ProCall 5 Enterprise, CTI-Applikation mit Unified Communications Merkmalen, Upgrade von Version 3.0 und 2.2 75 User </t>
  </si>
  <si>
    <t xml:space="preserve">ProCall 5 Enterprise, CTI-Applikation mit Unified Communications Merkmalen, Upgrade von Version 3.0 und 2.2 100 User </t>
  </si>
  <si>
    <t>51-00030-114</t>
  </si>
  <si>
    <t>51-00030-115</t>
  </si>
  <si>
    <t>51-00030-116</t>
  </si>
  <si>
    <t>51-00030-117</t>
  </si>
  <si>
    <t>51-00030-118</t>
  </si>
  <si>
    <t>51-00030-119</t>
  </si>
  <si>
    <t>51-00030-120</t>
  </si>
  <si>
    <t>51-00030-121</t>
  </si>
  <si>
    <t>51-00030-122</t>
  </si>
  <si>
    <t>51-00030-123</t>
  </si>
  <si>
    <t>51-00030-124</t>
  </si>
  <si>
    <t>51-00030-125</t>
  </si>
  <si>
    <t>51-00030-126</t>
  </si>
  <si>
    <t>51-00030-127</t>
  </si>
  <si>
    <t>51-00030-128</t>
  </si>
  <si>
    <t>51-00030-129</t>
  </si>
  <si>
    <t>51-00030-130</t>
  </si>
  <si>
    <t>51-00030-131</t>
  </si>
  <si>
    <t>Upgrade von Meta Directory von Version 2.0 und 3.0 auf Version 3.5</t>
  </si>
  <si>
    <t>innovaphone IP DECT Ladegerät und Netzteil für IP61 / IP62 / IP63 mit Adaptern für UK/US/AUS</t>
  </si>
  <si>
    <t>IP38</t>
  </si>
  <si>
    <t>12-00400-046</t>
  </si>
  <si>
    <t>IP38-GVL-purchase</t>
  </si>
  <si>
    <t>12-00500-046</t>
  </si>
  <si>
    <t>IP38-GVL-within warranty</t>
  </si>
  <si>
    <t>12-00300-108</t>
  </si>
  <si>
    <t>Silber Support IP38</t>
  </si>
  <si>
    <t>12-00300-107</t>
  </si>
  <si>
    <t>Gold Support IP38</t>
  </si>
  <si>
    <t>Gold onsite Support IP38</t>
  </si>
  <si>
    <t>12-00300-109</t>
  </si>
  <si>
    <t>02-00040-002</t>
  </si>
  <si>
    <t>02-00040-003</t>
  </si>
  <si>
    <t>02-00040-004</t>
  </si>
  <si>
    <t>02-00040-005</t>
  </si>
  <si>
    <t>02-00040-006</t>
  </si>
  <si>
    <t>02-00041-004</t>
  </si>
  <si>
    <t>02-00027-005</t>
  </si>
  <si>
    <t>02-00027-006</t>
  </si>
  <si>
    <t>02-00027-007</t>
  </si>
  <si>
    <t>02-00042-002</t>
  </si>
  <si>
    <t>02-00043-001</t>
  </si>
  <si>
    <t>02-00043-002</t>
  </si>
  <si>
    <t>02-00030-001</t>
  </si>
  <si>
    <t>02-00031-001</t>
  </si>
  <si>
    <t>02-00032-001</t>
  </si>
  <si>
    <t>02-00044-001</t>
  </si>
  <si>
    <t>Einzelrichtantenne für IP1202e</t>
  </si>
  <si>
    <t>Zusatzgehäuse (transparant) für IP1202 / IP1202e</t>
  </si>
  <si>
    <t>Art.-Nr.</t>
  </si>
  <si>
    <t>Rundstrahlantenne für IP1202e</t>
  </si>
  <si>
    <t>IP1202e</t>
  </si>
  <si>
    <t xml:space="preserve">IP 1202 DECT Gateway und Basisstation mit PoE (ohne Netzteil) </t>
  </si>
  <si>
    <t>META Directory 3.5</t>
  </si>
  <si>
    <t>Meta Directory Version 3.5</t>
  </si>
  <si>
    <t>META Directory 3.5 Professional</t>
  </si>
  <si>
    <t>Meta Directory Version 3.5 Professional</t>
  </si>
  <si>
    <t>Gürtelclip für die D81</t>
  </si>
  <si>
    <t>Ledertasche für die D81</t>
  </si>
  <si>
    <t>12-00400-040</t>
  </si>
  <si>
    <t>12-00400-041</t>
  </si>
  <si>
    <t>12-00400-042</t>
  </si>
  <si>
    <t>D81-GVL-within warranty</t>
  </si>
  <si>
    <t>D81ex-GVL-within warranty</t>
  </si>
  <si>
    <t>IP1202e-GVL-within warranty</t>
  </si>
  <si>
    <t>D81-GVL-purchase</t>
  </si>
  <si>
    <t>D81ex-GVL-purchase</t>
  </si>
  <si>
    <t>IP1202e-GVL-purchase</t>
  </si>
  <si>
    <t>12-00500-040</t>
  </si>
  <si>
    <t>12-00500-041</t>
  </si>
  <si>
    <t>12-00500-042</t>
  </si>
  <si>
    <t>Metadir 3.5</t>
  </si>
  <si>
    <t>Doppelrichtantenne für IP1202e</t>
  </si>
  <si>
    <t>Zusatzgehäuse mit Begleitheizung für IP1202e</t>
  </si>
  <si>
    <t>IP62 WLAN Mobiltelefon (ohne Netzteil, Ladeschale und Gürtelclip)</t>
  </si>
  <si>
    <t>DECT PSU IP1202 / IP1202e EU</t>
  </si>
  <si>
    <t>DECT PSU IP1202 / IP1202e UK</t>
  </si>
  <si>
    <t>12-00400-044</t>
  </si>
  <si>
    <t>12-00400-045</t>
  </si>
  <si>
    <t>12-00500-044</t>
  </si>
  <si>
    <t>IP222 (Weiß)-GVL-within warranty</t>
  </si>
  <si>
    <t>12-00500-045</t>
  </si>
  <si>
    <t>IP232 (Weiß)-GVL-within warranty</t>
  </si>
  <si>
    <t>XCAPI Fax Erweiterung 2 Leitungen Erweitert die XCAPI um T.38 Funktionalität und Softfax-Funktionalität</t>
  </si>
  <si>
    <t>EVP in EUR</t>
  </si>
  <si>
    <t>Upgrade META Directory</t>
  </si>
  <si>
    <t>innovaphone WLAN Desktop Programmiergerät für IP62</t>
  </si>
  <si>
    <t>12-00400-002</t>
  </si>
  <si>
    <t>IP22-GVL-purchase</t>
  </si>
  <si>
    <t>12-00400-014</t>
  </si>
  <si>
    <t>IP230-MOD-GVL-purchase</t>
  </si>
  <si>
    <t>12-00400-015</t>
  </si>
  <si>
    <t>IP150-GVL-purchase</t>
  </si>
  <si>
    <t>12-00400-024</t>
  </si>
  <si>
    <t>IP240-GVL-purchase</t>
  </si>
  <si>
    <t>12-00500-002</t>
  </si>
  <si>
    <t>IP22-GVL-within warranty</t>
  </si>
  <si>
    <t>12-00400-038</t>
  </si>
  <si>
    <t>IP1202-GVL-purchase</t>
  </si>
  <si>
    <t>12-00500-038</t>
  </si>
  <si>
    <t>IP1202-GVL-within warranty</t>
  </si>
  <si>
    <t>12-00300-014</t>
  </si>
  <si>
    <t>Silber Support IP22</t>
  </si>
  <si>
    <t>12-00400-035</t>
  </si>
  <si>
    <t>12-00400-036</t>
  </si>
  <si>
    <t>12-00500-027</t>
  </si>
  <si>
    <t>IP241-GVL-within warranty</t>
  </si>
  <si>
    <t>12-00500-028</t>
  </si>
  <si>
    <t>IP222-GVL-within warranty</t>
  </si>
  <si>
    <t>12-00500-029</t>
  </si>
  <si>
    <t>IP232-GVL-within warranty</t>
  </si>
  <si>
    <t xml:space="preserve">IP61  DECT Mobiltelefon (ohne Netzteil, Ladeschale und Gürtelclip) </t>
  </si>
  <si>
    <t xml:space="preserve">IP63 DECT Mobiltelefon (ohne Netzteil, Ladeschale und Gürtelclip) </t>
  </si>
  <si>
    <t>DECT SARI Zertifikat</t>
  </si>
  <si>
    <t>innovaphone DECT SARI Zertifikat mit einer einmaligen Kennung pro Installation</t>
  </si>
  <si>
    <t>12-00500-033</t>
  </si>
  <si>
    <t>IP6010-GVL-within warranty</t>
  </si>
  <si>
    <t>12-00500-034</t>
  </si>
  <si>
    <t>12-00500-035</t>
  </si>
  <si>
    <t>12-00500-036</t>
  </si>
  <si>
    <t>01-00022-001</t>
  </si>
  <si>
    <t>IP22</t>
  </si>
  <si>
    <t>Artikel</t>
  </si>
  <si>
    <t>12-00300-058</t>
  </si>
  <si>
    <t>Gold onsite Support IP22</t>
  </si>
  <si>
    <t>12-00500-024</t>
  </si>
  <si>
    <t>IP240-GVL-within warranty</t>
  </si>
  <si>
    <t>SSC</t>
  </si>
  <si>
    <t>12-00300-036</t>
  </si>
  <si>
    <t>Gold Support IP22</t>
  </si>
  <si>
    <t>IP241</t>
  </si>
  <si>
    <t>IP6010</t>
  </si>
  <si>
    <t>IP62 WLAN phone</t>
  </si>
  <si>
    <t>IP63</t>
  </si>
  <si>
    <t>innovaphone IP DECT Ladegerät und Netzteil für IP61 / IP62 / IP63</t>
  </si>
  <si>
    <t>innovaphone IP DECT Lade- und Programmiergerät und Netzteil für IP61 / IP63 mit Adaptern für EU</t>
  </si>
  <si>
    <t>innovaphone IP DECT Lade- und Programmiergerät und Netzteil für IP61 / IP63 mit Adaptern für UK</t>
  </si>
  <si>
    <t>Akku für IP61</t>
  </si>
  <si>
    <t>innovaphone IP DECT Multicharger für IP61 / IP62 / IP63 (ohne Netzkabel)</t>
  </si>
  <si>
    <t>innovaphone IP DECT Multicharger für IP62 / IP63 Akkus (ohne Netzkabel)</t>
  </si>
  <si>
    <t>Akku für IP62 / IP63</t>
  </si>
  <si>
    <t>Drehkopf-Clip für IP62 / IP63</t>
  </si>
  <si>
    <t>Sicherheitsband für IP61 / IP62 / IP63</t>
  </si>
  <si>
    <t>Standard Gürtelclip für IP61</t>
  </si>
  <si>
    <t>Standard Gürtelclip für IP62 / IP63</t>
  </si>
  <si>
    <t>Ledertasche für IP61</t>
  </si>
  <si>
    <t>Ledertasche für IP62 / IP63</t>
  </si>
  <si>
    <t>Headset für IP61 / IP62 / IP63</t>
  </si>
  <si>
    <t>Headsetkabel mit Klinkenstecke für IP61 / IP62 / IP63</t>
  </si>
  <si>
    <t>IP1202</t>
  </si>
  <si>
    <t>12-00300-092</t>
  </si>
  <si>
    <t>Silber Support IP6010</t>
  </si>
  <si>
    <t>12-00300-096</t>
  </si>
  <si>
    <t>Gold Support IP6010</t>
  </si>
  <si>
    <t>12-00300-100</t>
  </si>
  <si>
    <t>Gold onsite Support IP6010</t>
  </si>
  <si>
    <t>XCAPI</t>
  </si>
  <si>
    <t>Zubehör</t>
  </si>
  <si>
    <t>IP240</t>
  </si>
  <si>
    <t>12-00400-027</t>
  </si>
  <si>
    <t>IP241-GVL-purchase</t>
  </si>
  <si>
    <t>12-00400-028</t>
  </si>
  <si>
    <t>Kurzbezeichnung</t>
  </si>
  <si>
    <t>12-00400-029</t>
  </si>
  <si>
    <t>12-00400-033</t>
  </si>
  <si>
    <t>IP6010-GVL-purchase</t>
  </si>
  <si>
    <t>12-00400-034</t>
  </si>
  <si>
    <t>IP63-GVL-purchase</t>
  </si>
  <si>
    <t>IP63-GVL-within warranty</t>
  </si>
  <si>
    <t>IP62-GVL-within warranty</t>
  </si>
  <si>
    <t>Anzahl</t>
  </si>
  <si>
    <t>Gesamt</t>
  </si>
  <si>
    <t>DECT Handsets</t>
  </si>
  <si>
    <t>Software Service</t>
  </si>
  <si>
    <t>01-00150-001</t>
  </si>
  <si>
    <t>01-00150-010</t>
  </si>
  <si>
    <t>01-00222-001</t>
  </si>
  <si>
    <t>01-00222-002</t>
  </si>
  <si>
    <t>01-00232-001</t>
  </si>
  <si>
    <t>01-00232-002</t>
  </si>
  <si>
    <t>01-00240-003</t>
  </si>
  <si>
    <t>01-00241-001</t>
  </si>
  <si>
    <t>01-00230-001</t>
  </si>
  <si>
    <t>03-00010-004</t>
  </si>
  <si>
    <t>03-00010-002</t>
  </si>
  <si>
    <t>03-00010-226</t>
  </si>
  <si>
    <t>01-00500-003</t>
  </si>
  <si>
    <t>01-00500-004</t>
  </si>
  <si>
    <t>01-00500-002</t>
  </si>
  <si>
    <t>01-06010-002</t>
  </si>
  <si>
    <t>01-00038-001</t>
  </si>
  <si>
    <t>01-00999-001</t>
  </si>
  <si>
    <t>03-00010-231</t>
  </si>
  <si>
    <t>PoE Adapter Gigabit</t>
  </si>
  <si>
    <t>A</t>
  </si>
  <si>
    <t>B</t>
  </si>
  <si>
    <t>50-01202-001</t>
  </si>
  <si>
    <t>50-01202-003</t>
  </si>
  <si>
    <t>50-01202-004</t>
  </si>
  <si>
    <t>50-01202-005</t>
  </si>
  <si>
    <t>50-01202-006</t>
  </si>
  <si>
    <t>50-01202-007</t>
  </si>
  <si>
    <t>50-00061-001</t>
  </si>
  <si>
    <t>50-00063-001</t>
  </si>
  <si>
    <t>50-00060-001</t>
  </si>
  <si>
    <t>50-00060-002</t>
  </si>
  <si>
    <t>50-00060-003</t>
  </si>
  <si>
    <t>50-00060-004</t>
  </si>
  <si>
    <t>50-00060-005</t>
  </si>
  <si>
    <t>50-00060-006</t>
  </si>
  <si>
    <t>50-00060-007</t>
  </si>
  <si>
    <t>50-00060-008</t>
  </si>
  <si>
    <t>50-00060-009</t>
  </si>
  <si>
    <t>50-00060-010</t>
  </si>
  <si>
    <t>50-00060-011</t>
  </si>
  <si>
    <t>50-00060-012</t>
  </si>
  <si>
    <t>50-00060-013</t>
  </si>
  <si>
    <t>50-00060-014</t>
  </si>
  <si>
    <t>50-00060-015</t>
  </si>
  <si>
    <t>50-00060-016</t>
  </si>
  <si>
    <t>50-00060-021</t>
  </si>
  <si>
    <t>Artieklenummer</t>
  </si>
  <si>
    <t>WLAN Phone</t>
  </si>
  <si>
    <t>Special DECT Handsets</t>
  </si>
  <si>
    <t>Hardware</t>
  </si>
  <si>
    <t>Wireless</t>
  </si>
  <si>
    <t>Special DECT Handsets (IP81)</t>
  </si>
  <si>
    <t>Artikelnummer</t>
  </si>
  <si>
    <t>Software Service Agreement</t>
  </si>
  <si>
    <t>DECT</t>
  </si>
  <si>
    <t>WLAN</t>
  </si>
  <si>
    <t>Battery Multicharger IP63</t>
  </si>
  <si>
    <t>Battery IP63</t>
  </si>
  <si>
    <t>Battery Multicharger IP62</t>
  </si>
  <si>
    <t>Multicharger IP62</t>
  </si>
  <si>
    <t>Battery IP62</t>
  </si>
  <si>
    <t>Ledertasche IP62</t>
  </si>
  <si>
    <t>50-00062-001</t>
  </si>
  <si>
    <t>50-00060-019</t>
  </si>
  <si>
    <t>50-00060-017</t>
  </si>
  <si>
    <t>50-00060-018</t>
  </si>
  <si>
    <t>50-01202-008</t>
  </si>
  <si>
    <t>50-00081-001</t>
  </si>
  <si>
    <t>50-00081-002</t>
  </si>
  <si>
    <t>50-00081-003</t>
  </si>
  <si>
    <t>50-00081-004</t>
  </si>
  <si>
    <t>50-00081-005</t>
  </si>
  <si>
    <t>50-00081-006</t>
  </si>
  <si>
    <t>50-00081-007</t>
  </si>
  <si>
    <t>50-00081-009</t>
  </si>
  <si>
    <t>50-00081-010</t>
  </si>
  <si>
    <t xml:space="preserve">innovaphone IP DECT Netzteil für IP1202 und IP1202e UK   </t>
  </si>
  <si>
    <t>innovaphone IP DECT Netzteil für IP1202 und IP1202e EU</t>
  </si>
  <si>
    <t>IP150</t>
  </si>
  <si>
    <t>IP62</t>
  </si>
  <si>
    <t>D81</t>
  </si>
  <si>
    <t>Service</t>
  </si>
  <si>
    <t>Third Party</t>
  </si>
  <si>
    <t>Estos</t>
  </si>
  <si>
    <t>Silber</t>
  </si>
  <si>
    <t>Gold</t>
  </si>
  <si>
    <t>Gold onsite</t>
  </si>
  <si>
    <t xml:space="preserve">Summe </t>
  </si>
  <si>
    <t>Summe Hardware Support</t>
  </si>
  <si>
    <t>TE-Systems XCAPI</t>
  </si>
  <si>
    <t>ProCall 5 Enterprise, CTI-Applikation mit Unified Communications Merkmalen, Upgrade von Version 4.0 und 4+ 5 User</t>
  </si>
  <si>
    <t>ProCall 5 Enterprise, CTI-Applikation mit Unified Communications Merkmalen, Upgrade von Version 4.0 und 4+ 10 User</t>
  </si>
  <si>
    <t>ProCall 5 Enterprise, CTI-Applikation mit Unified Communications Merkmalen, Upgrade von Version 4.0 und 4+ 25 User</t>
  </si>
  <si>
    <t>ProCall 5 Enterprise, CTI-Applikation mit Unified Communications Merkmalen, Upgrade von Version 4.0 und 4+ 50 User</t>
  </si>
  <si>
    <t>ProCall 5 Enterprise, CTI-Applikation mit Unified Communications Merkmalen, Upgrade von Version 4.0 und 4+ 75 User</t>
  </si>
  <si>
    <t>ProCall 5 Enterprise, CTI-Applikation mit Unified Communications Merkmalen, Upgrade von Version 4.0 und 4+ 100 User</t>
  </si>
  <si>
    <t>Reseller</t>
  </si>
  <si>
    <t>usw.</t>
  </si>
  <si>
    <t>Logo Reseller</t>
  </si>
  <si>
    <t>Email</t>
  </si>
  <si>
    <t>ABC</t>
  </si>
  <si>
    <t>02-00027-008    </t>
  </si>
  <si>
    <t>02-00027-009    </t>
  </si>
  <si>
    <t>Test AG</t>
  </si>
  <si>
    <t>IP111</t>
  </si>
  <si>
    <t>01-00111-001</t>
  </si>
  <si>
    <t>01-002X2-001</t>
  </si>
  <si>
    <t>01-002X2-002</t>
  </si>
  <si>
    <t>FXO-Gateway</t>
  </si>
  <si>
    <t>VOIP-Gateways (BRI)</t>
  </si>
  <si>
    <t>VOIP-Gateways (PRI)</t>
  </si>
  <si>
    <t>02-00045-001</t>
  </si>
  <si>
    <t>12-00400-048</t>
  </si>
  <si>
    <t>IP111-GVL-purchase</t>
  </si>
  <si>
    <t>IP111-GVL-within warranty</t>
  </si>
  <si>
    <t>12-00500-048</t>
  </si>
  <si>
    <t>12-00400-049</t>
  </si>
  <si>
    <t>12-00400-050</t>
  </si>
  <si>
    <t>12-00500-049</t>
  </si>
  <si>
    <t>IP2X2-X (Schwarz)-GVL-within warranty</t>
  </si>
  <si>
    <t>12-00500-050</t>
  </si>
  <si>
    <t>IP2X2-X (Weiß)-GVL-within warranty</t>
  </si>
  <si>
    <t>19'' RACK</t>
  </si>
  <si>
    <t>IP6010 VOIP-Gateway</t>
  </si>
  <si>
    <t>19'' Rack</t>
  </si>
  <si>
    <t>iAS Partner</t>
  </si>
  <si>
    <t>iAR Partner</t>
  </si>
  <si>
    <t>51-00060-012</t>
  </si>
  <si>
    <t>51-00030-082</t>
  </si>
  <si>
    <t>51-00030-083</t>
  </si>
  <si>
    <t>51-00030-084</t>
  </si>
  <si>
    <t>50-01202-002</t>
  </si>
  <si>
    <t>01-00112-001</t>
  </si>
  <si>
    <t xml:space="preserve">IP1202/4 </t>
  </si>
  <si>
    <t>01-00029-001</t>
  </si>
  <si>
    <t>88-00010-056</t>
  </si>
  <si>
    <t>03-002X2-001</t>
  </si>
  <si>
    <t>03-002X2-002</t>
  </si>
  <si>
    <t>VoIP Gateway (FXO)</t>
  </si>
  <si>
    <t>VoIP-PBX (SIP)</t>
  </si>
  <si>
    <t>01-00311-001</t>
  </si>
  <si>
    <t>IP311 VOIP-Gateway</t>
  </si>
  <si>
    <t>IP411 VOIP-Gateway</t>
  </si>
  <si>
    <t>01-00411-001</t>
  </si>
  <si>
    <t>IP811 VOIP-Gateway</t>
  </si>
  <si>
    <t>01-00811-001</t>
  </si>
  <si>
    <t>IP3011 VOIP-Gateway</t>
  </si>
  <si>
    <t>01-03011-001</t>
  </si>
  <si>
    <t>IP1130 VOIP-Gateway</t>
  </si>
  <si>
    <t>01-01130-001</t>
  </si>
  <si>
    <t>IP0011 VOIP-Gateway</t>
  </si>
  <si>
    <t>01-00011-001</t>
  </si>
  <si>
    <t>v12 Port-Lic Standard</t>
  </si>
  <si>
    <t>v12 Port-Lic min1000</t>
  </si>
  <si>
    <t>v12 Port-Lic min2000</t>
  </si>
  <si>
    <t>v12 Port-Lic min5000</t>
  </si>
  <si>
    <t>v12 Standby-Lic Standard</t>
  </si>
  <si>
    <t>v12 Standby-Lic min500</t>
  </si>
  <si>
    <t>v12 Standby-Lic min1000</t>
  </si>
  <si>
    <t>v12 Standby-Lic min2000</t>
  </si>
  <si>
    <t>v12 Standby-Lic min5000</t>
  </si>
  <si>
    <t>v12 IPVA-Lic</t>
  </si>
  <si>
    <t>v12 Voicemail-User-Lic</t>
  </si>
  <si>
    <t>v12 myPBX-Lic</t>
  </si>
  <si>
    <t>v12 Video-Lic</t>
  </si>
  <si>
    <t>v12 Mobility-Lic</t>
  </si>
  <si>
    <t>v12 Fax-Lic</t>
  </si>
  <si>
    <t>v12 AppSharing-Lic</t>
  </si>
  <si>
    <t>v12 UC-Lic</t>
  </si>
  <si>
    <t>v12 Softwarephone</t>
  </si>
  <si>
    <t>v12 Queue Monitor</t>
  </si>
  <si>
    <t>v12 Operator</t>
  </si>
  <si>
    <t xml:space="preserve">v12 Reporting-Lic </t>
  </si>
  <si>
    <t>v12 Port-Lic min500</t>
  </si>
  <si>
    <t>PBX-Port12</t>
  </si>
  <si>
    <t>PBX-Port12%500</t>
  </si>
  <si>
    <t>PBX-Port12%1000</t>
  </si>
  <si>
    <t>PBX-Port12%2000</t>
  </si>
  <si>
    <t>PBX-Port12%5000</t>
  </si>
  <si>
    <t>PBX-Standby12</t>
  </si>
  <si>
    <t>PBX-Standby12%500</t>
  </si>
  <si>
    <t>PBX-Standby12%1000</t>
  </si>
  <si>
    <t>PBX-Standby12%2000</t>
  </si>
  <si>
    <t>PBX-Standby12%5000</t>
  </si>
  <si>
    <t>PBX-IPVA12</t>
  </si>
  <si>
    <t>PBX-VoicemailUser12</t>
  </si>
  <si>
    <t>PBX-myPBX12</t>
  </si>
  <si>
    <t>PBX-Video12</t>
  </si>
  <si>
    <t>PBX-Mobility12</t>
  </si>
  <si>
    <t>PBX-Fax12</t>
  </si>
  <si>
    <t>App Sharing12</t>
  </si>
  <si>
    <t>PBX-UC12</t>
  </si>
  <si>
    <t>PBX-SoftwarePhone12</t>
  </si>
  <si>
    <t>PBX-QueueMonitor12</t>
  </si>
  <si>
    <t>PBX-Operator12</t>
  </si>
  <si>
    <t>PBX-Reporting12</t>
  </si>
  <si>
    <t>PBX Recording12</t>
  </si>
  <si>
    <t>PBX Recording 12%1</t>
  </si>
  <si>
    <t>02-00047-001</t>
  </si>
  <si>
    <t>v12 WebRTC Channel-Lic</t>
  </si>
  <si>
    <t>WebRTC Channel 12</t>
  </si>
  <si>
    <t xml:space="preserve">IP1202e IP DECT Gateway und Basisstation mit externem Antennenanschlus </t>
  </si>
  <si>
    <t>IP1202e IP DECT Gateway und Basisstation mit externem Antennenanschlus</t>
  </si>
  <si>
    <t>12-00400-052</t>
  </si>
  <si>
    <t>IP112-GVL-purchase</t>
  </si>
  <si>
    <t>IP29-GVL-purchase</t>
  </si>
  <si>
    <t>12-00400-058</t>
  </si>
  <si>
    <t>IP1202/4-GVL-purchase</t>
  </si>
  <si>
    <t>12-00400-051</t>
  </si>
  <si>
    <t>12-00400-055</t>
  </si>
  <si>
    <t>IP811-GVL-purchase</t>
  </si>
  <si>
    <t>12-00400-053</t>
  </si>
  <si>
    <t>IP311-GVL-purchase</t>
  </si>
  <si>
    <t>12-00400-054</t>
  </si>
  <si>
    <t>IP411-GVL-purchase</t>
  </si>
  <si>
    <t>12-00400-056</t>
  </si>
  <si>
    <t>IP1130-GVL-purchase</t>
  </si>
  <si>
    <t>12-00400-057</t>
  </si>
  <si>
    <t>IP3011-GVL-purchase</t>
  </si>
  <si>
    <t>12-00400-059</t>
  </si>
  <si>
    <t>IP0011-GVL-purchase</t>
  </si>
  <si>
    <t>IP29</t>
  </si>
  <si>
    <t>IP311</t>
  </si>
  <si>
    <t>IP411</t>
  </si>
  <si>
    <t>IP811</t>
  </si>
  <si>
    <t>IP0011</t>
  </si>
  <si>
    <t>IP3011</t>
  </si>
  <si>
    <t>IP112</t>
  </si>
  <si>
    <t>IP230-MOD</t>
  </si>
  <si>
    <t>IP1202/4</t>
  </si>
  <si>
    <t>12-00500-058</t>
  </si>
  <si>
    <t>IP29-GVL-within warranty</t>
  </si>
  <si>
    <t>IP311-GVL-within warranty</t>
  </si>
  <si>
    <t>IP411-GVL-within warranty</t>
  </si>
  <si>
    <t>IP811-GVL-within warranty</t>
  </si>
  <si>
    <t>IP0011-GVL-within warranty</t>
  </si>
  <si>
    <t>IP3011-GVL-within warranty</t>
  </si>
  <si>
    <t>IP1130-GVL-within warranty</t>
  </si>
  <si>
    <t>IP112-GVL-within warranty</t>
  </si>
  <si>
    <t>IP1202/4-GVL-within warranty</t>
  </si>
  <si>
    <t>12-00500-052</t>
  </si>
  <si>
    <t>12-00500-054</t>
  </si>
  <si>
    <t>12-00500-055</t>
  </si>
  <si>
    <t>12-00500-059</t>
  </si>
  <si>
    <t>12-00500-057</t>
  </si>
  <si>
    <t>12-00500-056</t>
  </si>
  <si>
    <t>12-00500-053</t>
  </si>
  <si>
    <t>12-00500-051</t>
  </si>
  <si>
    <t>IP1130</t>
  </si>
  <si>
    <t>Silber Support IP29</t>
  </si>
  <si>
    <t>Silber Support IP311</t>
  </si>
  <si>
    <t>Silber Support IP411</t>
  </si>
  <si>
    <t>Silber Support IP811</t>
  </si>
  <si>
    <t>Silber Support IP0011</t>
  </si>
  <si>
    <t>Silber Support IP3011</t>
  </si>
  <si>
    <t>Silber Support IP1130</t>
  </si>
  <si>
    <t>Gold Support IP29</t>
  </si>
  <si>
    <t>Gold Support IP311</t>
  </si>
  <si>
    <t>Gold Support IP411</t>
  </si>
  <si>
    <t>Gold Support IP811</t>
  </si>
  <si>
    <t>Gold Support IP0011</t>
  </si>
  <si>
    <t>Gold Support IP3011</t>
  </si>
  <si>
    <t>Gold Support IP1130</t>
  </si>
  <si>
    <t>Gold onsite Support IP29</t>
  </si>
  <si>
    <t>Gold onsite Support IP311</t>
  </si>
  <si>
    <t>Gold onsite Support IP411</t>
  </si>
  <si>
    <t>Gold onsite Support IP811</t>
  </si>
  <si>
    <t>Gold onsite Support IP0011</t>
  </si>
  <si>
    <t>Gold onsite Support IP3011</t>
  </si>
  <si>
    <t>Gold onsite Support IP1130</t>
  </si>
  <si>
    <t>12-00300-128</t>
  </si>
  <si>
    <t>12-00300-110</t>
  </si>
  <si>
    <t>12-00300-113</t>
  </si>
  <si>
    <t>12-00300-116</t>
  </si>
  <si>
    <t>12-00300-119</t>
  </si>
  <si>
    <t>12-00300-122</t>
  </si>
  <si>
    <t>12-00300-125</t>
  </si>
  <si>
    <t>12-00300-129</t>
  </si>
  <si>
    <t>12-00300-111</t>
  </si>
  <si>
    <t>12-00300-114</t>
  </si>
  <si>
    <t>12-00300-117</t>
  </si>
  <si>
    <t>12-00300-126</t>
  </si>
  <si>
    <t>12-00300-123</t>
  </si>
  <si>
    <t>12-00300-120</t>
  </si>
  <si>
    <t>12-00300-130</t>
  </si>
  <si>
    <t>12-00300-127</t>
  </si>
  <si>
    <t>12-00300-124</t>
  </si>
  <si>
    <t>12-00300-121</t>
  </si>
  <si>
    <t>12-00300-118</t>
  </si>
  <si>
    <t>12-00300-112</t>
  </si>
  <si>
    <t>12-00300-115</t>
  </si>
  <si>
    <t>IP38 FXO-Gateway</t>
  </si>
  <si>
    <t>Company</t>
  </si>
  <si>
    <t>Contact person</t>
  </si>
  <si>
    <t>Phone</t>
  </si>
  <si>
    <t>Customer</t>
  </si>
  <si>
    <t>Date</t>
  </si>
  <si>
    <t>Offer valid until</t>
  </si>
  <si>
    <t>The innovaphone price calculator is a guide without any claim to be right or complete.</t>
  </si>
  <si>
    <t>Therefore innovaphone AG assumes no liability for errors which may result from the price calculator.</t>
  </si>
  <si>
    <t>Gateways and Interfaces</t>
  </si>
  <si>
    <t>Article</t>
  </si>
  <si>
    <t>RRP in EUR</t>
  </si>
  <si>
    <t>Amount</t>
  </si>
  <si>
    <t>Total in EUR</t>
  </si>
  <si>
    <t>Analogue Adapter</t>
  </si>
  <si>
    <t>IP Phones</t>
  </si>
  <si>
    <t>Power Supply Units (PSU)</t>
  </si>
  <si>
    <t>Power Supply</t>
  </si>
  <si>
    <r>
      <t xml:space="preserve">Please choose Alternative A </t>
    </r>
    <r>
      <rPr>
        <b/>
        <i/>
        <u/>
        <sz val="14"/>
        <color rgb="FFC00000"/>
        <rFont val="Calibri"/>
        <family val="2"/>
      </rPr>
      <t xml:space="preserve">or </t>
    </r>
    <r>
      <rPr>
        <sz val="14"/>
        <color rgb="FFC00000"/>
        <rFont val="Calibri"/>
        <family val="2"/>
      </rPr>
      <t>Alternative B</t>
    </r>
  </si>
  <si>
    <t>Alternative A</t>
  </si>
  <si>
    <t>Alternative B</t>
  </si>
  <si>
    <t>No</t>
  </si>
  <si>
    <t>I need the following Power Supply Units:</t>
  </si>
  <si>
    <t>Do you need Power Supply Units (standard)?</t>
  </si>
  <si>
    <t>Sum Power Supply Units</t>
  </si>
  <si>
    <t>Printable Area - No entry please</t>
  </si>
  <si>
    <t>Article number</t>
  </si>
  <si>
    <t>Short description</t>
  </si>
  <si>
    <t>Sum Hardware and Accessories</t>
  </si>
  <si>
    <t>Yes</t>
  </si>
  <si>
    <t>Sum Analogue Adapter</t>
  </si>
  <si>
    <t>Sum IP Phones</t>
  </si>
  <si>
    <t>Sum Hardware</t>
  </si>
  <si>
    <t>Sum Gateways and Interfaces</t>
  </si>
  <si>
    <t>Interfaces</t>
  </si>
  <si>
    <t>Rack</t>
  </si>
  <si>
    <t>Do you need further channels (e.g. for conferencing)</t>
  </si>
  <si>
    <t>Special Purpose Phone</t>
  </si>
  <si>
    <t>Accessories</t>
  </si>
  <si>
    <t>License for 1 PRI interface</t>
  </si>
  <si>
    <t>License for 1 BRI interface</t>
  </si>
  <si>
    <t>Channel License for one conference or ISDN channel</t>
  </si>
  <si>
    <t>IP 22 - Analogue Adapter incl. 2 analogue interfaces</t>
  </si>
  <si>
    <t>IP 29 - Analogue Adapter incl. 8 analogue interfaces</t>
  </si>
  <si>
    <t>IP29 Combipackage (2 x IP29 + 19"- Rack)</t>
  </si>
  <si>
    <t>40 V power supply</t>
  </si>
  <si>
    <t>12 V power supply</t>
  </si>
  <si>
    <t xml:space="preserve">12 V power supply int. </t>
  </si>
  <si>
    <t>IP111 IP Phone</t>
  </si>
  <si>
    <t>IP112 IP Phone</t>
  </si>
  <si>
    <t>IP240 IP Phone</t>
  </si>
  <si>
    <t>IP241 IP Phone</t>
  </si>
  <si>
    <t>IP150 IP Phone</t>
  </si>
  <si>
    <t>IP111 IP-Phone</t>
  </si>
  <si>
    <t>IP112 IP-Phone</t>
  </si>
  <si>
    <t>IP240 IP-Phone</t>
  </si>
  <si>
    <t>IP241 IP-Phone</t>
  </si>
  <si>
    <t>IP150 IP-Phone</t>
  </si>
  <si>
    <t>IP222 IP Phone (black)</t>
  </si>
  <si>
    <t>IP232 IP Phone (black)</t>
  </si>
  <si>
    <t>IP222 IP Phone (white)</t>
  </si>
  <si>
    <t>IP232 IP Phone (white)</t>
  </si>
  <si>
    <t xml:space="preserve">IP150 IP Phone incl. headset </t>
  </si>
  <si>
    <t>Individual key module for IP230, IP240, IP241</t>
  </si>
  <si>
    <t>IP2X2-X Individual key module (black)</t>
  </si>
  <si>
    <t>IP2X2-X Individual key module (white)</t>
  </si>
  <si>
    <t>base (long) IP2x2-X for one phone IP222 or IP232 including one individual key module</t>
  </si>
  <si>
    <t>base (long) IP2x2-X for one phone IP222 or IP232 including two individual key modules</t>
  </si>
  <si>
    <t>IP3011; VOIP-Gateway for up to 1 PRI, without interface licences</t>
  </si>
  <si>
    <t>IP6010; VOIP-Gateway with up to 4 PRI and 1 BRI, without interface licences</t>
  </si>
  <si>
    <t>IP0011; VOIP-PBX without interfaces</t>
  </si>
  <si>
    <t>IP38; Pure FXO-Gateway incl. 8 analogue interfaces</t>
  </si>
  <si>
    <t xml:space="preserve">License for 1 PRI interface </t>
  </si>
  <si>
    <t xml:space="preserve">License for 1 BRI interface </t>
  </si>
  <si>
    <t>IP811; VOIP-Gateway with up to 5 BRI, without interface licences</t>
  </si>
  <si>
    <t>IP1130; Pure VOIP-Gateway with up to 1 PRI, without interface licenses (PBX functionality not supported)</t>
  </si>
  <si>
    <t>IP311; VOIP-Gateway / Analogue Adapter with 4 x FXO and 2 x FXS (interface licenses included)</t>
  </si>
  <si>
    <t>IP411; VOIP-Gateway / Analogue Adapter with 2 x BRI and 2 x FXS (interface licenses included)</t>
  </si>
  <si>
    <t>IP222 IP-Phone (black)</t>
  </si>
  <si>
    <t>IP232 IP-Phone (black)</t>
  </si>
  <si>
    <t>IP222 IP-Phone (white)</t>
  </si>
  <si>
    <t>IP232 IP-Phone (white)</t>
  </si>
  <si>
    <t>IP150 IP-Phone incl. headset</t>
  </si>
  <si>
    <t>IP22 - Analogue Adapter</t>
  </si>
  <si>
    <t>IP29 - Analogue Adapter</t>
  </si>
  <si>
    <t>12 V power supply int.</t>
  </si>
  <si>
    <t>Software Licenses</t>
  </si>
  <si>
    <r>
      <t xml:space="preserve">PBX Licenses </t>
    </r>
    <r>
      <rPr>
        <sz val="14"/>
        <rFont val="Calibri"/>
        <family val="2"/>
      </rPr>
      <t>(</t>
    </r>
    <r>
      <rPr>
        <sz val="14"/>
        <color rgb="FFC00000"/>
        <rFont val="Calibri"/>
        <family val="2"/>
      </rPr>
      <t xml:space="preserve">Please choose Alternative A </t>
    </r>
    <r>
      <rPr>
        <b/>
        <i/>
        <u/>
        <sz val="14"/>
        <color rgb="FFC00000"/>
        <rFont val="Calibri"/>
        <family val="2"/>
      </rPr>
      <t>or</t>
    </r>
    <r>
      <rPr>
        <sz val="14"/>
        <color rgb="FFC00000"/>
        <rFont val="Calibri"/>
        <family val="2"/>
      </rPr>
      <t>Alternative B!</t>
    </r>
    <r>
      <rPr>
        <sz val="14"/>
        <rFont val="Calibri"/>
        <family val="2"/>
      </rPr>
      <t>)</t>
    </r>
  </si>
  <si>
    <t>How many PBX Port Licenses do you need overall?</t>
  </si>
  <si>
    <t>How many users with own extension do you have (Desk phones, Software phones, DECT...)?</t>
  </si>
  <si>
    <t>How many analogue devices with own extension do you have (Fax, door opener…)?</t>
  </si>
  <si>
    <t>How many trunk lines do you have (PSTN, SIP…)?</t>
  </si>
  <si>
    <t>Do you need further Port Licenses? (e.g: internal BRI…)?</t>
  </si>
  <si>
    <t>Sum PBX Port Licenses</t>
  </si>
  <si>
    <t>Do you need Standby Licenses?</t>
  </si>
  <si>
    <t>Do you need IPVA Licenses?</t>
  </si>
  <si>
    <t>UC Licenses</t>
  </si>
  <si>
    <t>Application Licenses</t>
  </si>
  <si>
    <t>How many Softwarephone licenses do you need?</t>
  </si>
  <si>
    <t>How many Queue Monitor licenses do you need?</t>
  </si>
  <si>
    <t>How many Operator licenses do you need?</t>
  </si>
  <si>
    <t>How many Reporting licenses do you need?</t>
  </si>
  <si>
    <t>How many innovaphone Recording licenses do you need?</t>
  </si>
  <si>
    <r>
      <t xml:space="preserve">How many VoiceMail Licenses do you need? </t>
    </r>
    <r>
      <rPr>
        <sz val="11"/>
        <color rgb="FFC00000"/>
        <rFont val="Calibri"/>
        <family val="2"/>
      </rPr>
      <t/>
    </r>
  </si>
  <si>
    <t>How many myPBX licenses do you need?</t>
  </si>
  <si>
    <t>How many Video licenses do you need?</t>
  </si>
  <si>
    <t>How many Mobility licenses do you need?</t>
  </si>
  <si>
    <t>How many Faxserver licenses do you need?</t>
  </si>
  <si>
    <t>How many Application Sharing licenses do you need?</t>
  </si>
  <si>
    <t>How many UC licenses do you need?</t>
  </si>
  <si>
    <t>How many WebRTC Channel Lizenzen do you need?</t>
  </si>
  <si>
    <t>Overview</t>
  </si>
  <si>
    <t>Sum PBX Licenses</t>
  </si>
  <si>
    <t>Sum UC Licenses</t>
  </si>
  <si>
    <t>Sum Applications Licenses</t>
  </si>
  <si>
    <t>Sum Software Service Agreement</t>
  </si>
  <si>
    <t>Total Software</t>
  </si>
  <si>
    <t>Do you want to have a Software Service?</t>
  </si>
  <si>
    <t>For how many years?</t>
  </si>
  <si>
    <t>License type</t>
  </si>
  <si>
    <t>Total</t>
  </si>
  <si>
    <t>Application licenses</t>
  </si>
  <si>
    <t>UC licenses</t>
  </si>
  <si>
    <t>PBX Port licenses</t>
  </si>
  <si>
    <t>v12 innovaphone Recording User Lic</t>
  </si>
  <si>
    <t>v12 innovaphone Recording Base Lic</t>
  </si>
  <si>
    <t>Sum Software overall</t>
  </si>
  <si>
    <t>SSCs per year</t>
  </si>
  <si>
    <t>Sum SSA</t>
  </si>
  <si>
    <t>DECT SARI Certificate</t>
  </si>
  <si>
    <t>DECT Base Stations</t>
  </si>
  <si>
    <t>Accessories DECT Handsets</t>
  </si>
  <si>
    <t>IP1202e Dual-Directional-Antenna</t>
  </si>
  <si>
    <t>IP1202e Single-Directional-Antenna</t>
  </si>
  <si>
    <t>IP1202e Omni-Directional-Antenna</t>
  </si>
  <si>
    <t>IP1202e additional casing with heat tracing</t>
  </si>
  <si>
    <t>IP63 (not including Charger/PSU)</t>
  </si>
  <si>
    <t>IP DECT charger/ programming kit and PSU (IP61 / IP63) with adapter for EU</t>
  </si>
  <si>
    <t>IP DECT charger/ programming kit and PSU (IP61 / IP63) with adapter for UK</t>
  </si>
  <si>
    <t>Swivel Clip IP63</t>
  </si>
  <si>
    <t>Standard belt clip IP63</t>
  </si>
  <si>
    <t>Leather case IP63</t>
  </si>
  <si>
    <t>Headset cable with phone jack IP61 / IP63</t>
  </si>
  <si>
    <t>DECT Charger and PSU D81/D81 ex. EU</t>
  </si>
  <si>
    <t>DECT Charger and PSU D81/I62/D81 ex. UK</t>
  </si>
  <si>
    <t>Battery D81</t>
  </si>
  <si>
    <t>Battery D81 ex</t>
  </si>
  <si>
    <t>Battery pack opener D81 ex.</t>
  </si>
  <si>
    <t>D81 Belt clip</t>
  </si>
  <si>
    <t>D81 Leather case</t>
  </si>
  <si>
    <t>Charger and PSU IP62 EU</t>
  </si>
  <si>
    <t>Charger and PSU IP62/UK/US/AUS</t>
  </si>
  <si>
    <t>Swivel Clip IP62</t>
  </si>
  <si>
    <t>Security chain IP62</t>
  </si>
  <si>
    <t>Standard belt clip IP62</t>
  </si>
  <si>
    <t>Leather Case IP62</t>
  </si>
  <si>
    <t>Headset cable with phone jack IP62</t>
  </si>
  <si>
    <t>Sum DECT</t>
  </si>
  <si>
    <t>Sum WLAN</t>
  </si>
  <si>
    <t>Accessories WLAN Phone</t>
  </si>
  <si>
    <t xml:space="preserve">Sum Wireless </t>
  </si>
  <si>
    <t>Article Number</t>
  </si>
  <si>
    <t>Sum</t>
  </si>
  <si>
    <t>Warranty Extensions</t>
  </si>
  <si>
    <t>Alternative A:</t>
  </si>
  <si>
    <t>Alternative B:</t>
  </si>
  <si>
    <t>Please choose the warranty type you wish to extend as well as the amount of devices and the number of (extension) years</t>
  </si>
  <si>
    <t>Device</t>
  </si>
  <si>
    <t xml:space="preserve">on purchase / after purchase </t>
  </si>
  <si>
    <t>Amount of devices</t>
  </si>
  <si>
    <t>Extension years</t>
  </si>
  <si>
    <t>Price per device and year</t>
  </si>
  <si>
    <t>IP222 (black)</t>
  </si>
  <si>
    <t>IP232 (black)</t>
  </si>
  <si>
    <t>IP2X2-X (black)</t>
  </si>
  <si>
    <t>IP232 (white)</t>
  </si>
  <si>
    <t>IP222 (white)</t>
  </si>
  <si>
    <t>IP2X2-X (white)</t>
  </si>
  <si>
    <t>Sum Warranty Extensions</t>
  </si>
  <si>
    <t>Short Description</t>
  </si>
  <si>
    <t>Warranty Extension on purchase for IP22</t>
  </si>
  <si>
    <t>Warranty Extension on purchase for IP29</t>
  </si>
  <si>
    <t>Warranty Extension on purchase for IP311</t>
  </si>
  <si>
    <t>Warranty Extension on purchase for IP411</t>
  </si>
  <si>
    <t>Warranty Extension on purchase for IP811</t>
  </si>
  <si>
    <t>Warranty Extension on purchase for IP0011</t>
  </si>
  <si>
    <t>Warranty Extension on purchase for IP3011</t>
  </si>
  <si>
    <t>Warranty Extension on purchase for IP1130</t>
  </si>
  <si>
    <t>Warranty Extension on purchase for IP6010</t>
  </si>
  <si>
    <t>Warranty Extension on purchase for IP38</t>
  </si>
  <si>
    <t>Warranty Extension on purchase for IP111</t>
  </si>
  <si>
    <t>Warranty Extension on purchase for IP112</t>
  </si>
  <si>
    <t>Warranty Extension on purchase for IP222 (white)</t>
  </si>
  <si>
    <t>Warranty Extension on purchase for IP222 (black)</t>
  </si>
  <si>
    <t>Warranty Extension on purchase for IP232 (black)</t>
  </si>
  <si>
    <t>Warranty Extension on purchase for IP232 (white)</t>
  </si>
  <si>
    <t>Warranty Extension on purchase for IP2X2-2 (black)</t>
  </si>
  <si>
    <t>Warranty Extension on purchase for IP2X2-2 (white)</t>
  </si>
  <si>
    <t>Warranty Extension on purchase for IP240</t>
  </si>
  <si>
    <t>Warranty Extension on purchase for IP241</t>
  </si>
  <si>
    <t>Warranty Extension on purchase for IP230-MOD</t>
  </si>
  <si>
    <t>Warranty Extension on purchase for IP150</t>
  </si>
  <si>
    <t>Warranty Extension on purchase for IP63</t>
  </si>
  <si>
    <t>Warranty Extension on purchase for IP62</t>
  </si>
  <si>
    <t>Warranty Extension on purchase for IP1202</t>
  </si>
  <si>
    <t>Warranty Extension on purchase for IP1202e</t>
  </si>
  <si>
    <t>Warranty Extension on purchase for IP1202/4</t>
  </si>
  <si>
    <t>Warranty Extension on purchase for IP81</t>
  </si>
  <si>
    <t>Warranty Extension on purchase for IP81ex</t>
  </si>
  <si>
    <t>Warranty Extension after purchase for IP22</t>
  </si>
  <si>
    <t>IP232 (white)-GVL-purchase</t>
  </si>
  <si>
    <t>IP2X2-X (white)-GVL-purchase</t>
  </si>
  <si>
    <t>IP2X2-X (black)-GVL-purchase</t>
  </si>
  <si>
    <t>IP232 (black)-GVL-purchase</t>
  </si>
  <si>
    <t>IP222 (white)-GVL-purchase</t>
  </si>
  <si>
    <t>IP222 (black)-GVL-purchase</t>
  </si>
  <si>
    <t>Sum warranty extension on purchase</t>
  </si>
  <si>
    <t>Sum warranty extension after purchase</t>
  </si>
  <si>
    <t xml:space="preserve">Sum warranty extension </t>
  </si>
  <si>
    <t>Warranty Extension after purchase for IP29</t>
  </si>
  <si>
    <t>Warranty Extension after purchase for IP311</t>
  </si>
  <si>
    <t>Warranty Extension after purchase for IP411</t>
  </si>
  <si>
    <t>Warranty Extension after purchase for IP811</t>
  </si>
  <si>
    <t>Warranty Extension after purchase for IP0011</t>
  </si>
  <si>
    <t>Warranty Extension after purchase for IP3011</t>
  </si>
  <si>
    <t>Warranty Extension after purchase for IP1130</t>
  </si>
  <si>
    <t>Warranty Extension after purchase for IP6010</t>
  </si>
  <si>
    <t>Warranty Extension after purchase for IP38</t>
  </si>
  <si>
    <t>Warranty Extension after purchase for IP111</t>
  </si>
  <si>
    <t>Warranty Extension after purchase for IP112</t>
  </si>
  <si>
    <t>Warranty Extension after purchase for IP222 (black)</t>
  </si>
  <si>
    <t>Warranty Extension after purchase for IP222 (white)</t>
  </si>
  <si>
    <t>Warranty Extension after purchase for IP232 (black)</t>
  </si>
  <si>
    <t>Warranty Extension after purchase for IP232 (white)</t>
  </si>
  <si>
    <t>Warranty Extension after purchase for IP2X2-2 (black)</t>
  </si>
  <si>
    <t>Warranty Extension after purchase for IP2X2-2 (white)</t>
  </si>
  <si>
    <t>Warranty Extension after purchase for IP240</t>
  </si>
  <si>
    <t>Warranty Extension after purchase for IP241</t>
  </si>
  <si>
    <t>Warranty Extension after purchase for IP230-MOD</t>
  </si>
  <si>
    <t>Warranty Extension after purchase for IP150</t>
  </si>
  <si>
    <t>Warranty Extension after purchase for IP63</t>
  </si>
  <si>
    <t>Warranty Extension after purchase for IP62</t>
  </si>
  <si>
    <t>Warranty Extension after purchase for IP81</t>
  </si>
  <si>
    <t>Warranty Extension after purchase for IP81ex</t>
  </si>
  <si>
    <t>Warranty Extension after purchase for IP1202</t>
  </si>
  <si>
    <t>Warranty Extension after purchase for IP1202e</t>
  </si>
  <si>
    <t>Warranty Extension after purchase for IP1202/4</t>
  </si>
  <si>
    <t>on purchase</t>
  </si>
  <si>
    <t>after purchase</t>
  </si>
  <si>
    <r>
      <t xml:space="preserve">Warranty extension on purchase: </t>
    </r>
    <r>
      <rPr>
        <sz val="10"/>
        <rFont val="Calibri"/>
        <family val="2"/>
      </rPr>
      <t xml:space="preserve">Only available in connection with the purchase of the hardware. Maximum warranty is 5 years (1 year manufacturer warranty and a maximum of 4 years extension). If a warranty extension has been bound to a certain device it is not possible to bind another warranty extension to this device. </t>
    </r>
  </si>
  <si>
    <t>Hardware Maintenance</t>
  </si>
  <si>
    <t xml:space="preserve">A replacement device will be sent out to the hardware location on the same day if notification and verification of a failure takes place before 3pm on working days, and on the next working day if notification takes place after 3pm on working days. Logistic companies take between one and three working days. Should the hardware be outside of Germany, yet in a European country, then shipment should usually take 1-3 additional working days dependent on location. Shipment could take longer for countries outside of Europe. </t>
  </si>
  <si>
    <t xml:space="preserve">If the malfunction is reported and verified by 3pm on a working day then a replacement device is sent to the hardware location on the same day; and on the next day should the malfunction be reported after 3pm. The device is sent as an express delivery, and will arrive at locations in Germany on the next working day before 10.30am and by 12.00 noon on a Saturday. Should the hardware be located outside of Germany, yet in Europe, then logistics should usually take 1-3 working days dependant on location. Locations outside of Europe could take longer. </t>
  </si>
  <si>
    <t>A qualified malfunction report and verification of malfunction by 3pm on working days, means the same day replacement of defect hardware will take place at the hardware location within 4 hours. Reporting after 3pm means the swap will take place on the next day at latest by 12 noon. The swap will be carried out by a courier, who will immediately take and return the defect device to us. The courier does not carry out any maintenance work or configurations. This service is not always available across Germany/Europe without limitation. The location must be checked prior to the agreement being signed and in the event of changing location.</t>
  </si>
  <si>
    <t>Take a look on the entire Hardware Maintenance agreement swap service for innovaphone products here</t>
  </si>
  <si>
    <t>Please choose the Hardware Maintenance type as well as the amount of devices and the number of years</t>
  </si>
  <si>
    <t>Maintenance type</t>
  </si>
  <si>
    <t>Number of years</t>
  </si>
  <si>
    <t>Attention: Please inquire after the availablity of Gold and Gold onsite support under specification of the location</t>
  </si>
  <si>
    <t>Welcome to the innovaphone v12 Excel Configurator</t>
  </si>
  <si>
    <t>Sum Estos</t>
  </si>
  <si>
    <t>Sum TE-Systems</t>
  </si>
  <si>
    <t xml:space="preserve">Sum 3rd Party </t>
  </si>
  <si>
    <t>ProCall  -  Upgrade from 4.0 and 4+ to 5</t>
  </si>
  <si>
    <t xml:space="preserve">ProCall  -  Upgrade from 3.0 and 2.2 to 5 </t>
  </si>
  <si>
    <t>Upgrade ProCall 5 from 3.0 Enterprise 5 User</t>
  </si>
  <si>
    <t>Upgrade ProCall 5 from 3.0 Enterprise 10 User</t>
  </si>
  <si>
    <t>Upgrade ProCall 5 from 3.0 Enterprise 25 User</t>
  </si>
  <si>
    <t>Upgrade ProCall 5 from 3.0 Enterprise 50 User</t>
  </si>
  <si>
    <t>Upgrade ProCall 5 from 3.0 Enterprise 75 User</t>
  </si>
  <si>
    <t>Upgrade ProCall 5 from 3.0 Enterprise 100 User</t>
  </si>
  <si>
    <t>Upgrade ProCall 5 from 4.0 and 4+ Enterprise 100 User</t>
  </si>
  <si>
    <t>Upgrade ProCall 5 from 4.0 and 4+ Enterprise 75 User</t>
  </si>
  <si>
    <t>Upgrade ProCall 5 from 4.0 and 4+ Enterprise 50 User</t>
  </si>
  <si>
    <t>Upgrade ProCall 5 from 4.0 and 4+ Enterprise 25 User</t>
  </si>
  <si>
    <t>Upgrade ProCall 5 from 4.0 and 4+ Enterprise 10 User</t>
  </si>
  <si>
    <t>Upgrade ProCall 5 from 4.0 and 4+ Enterprise 5 User</t>
  </si>
  <si>
    <t>XCAPI basic version (2 Channels)</t>
  </si>
  <si>
    <t>XCAPI extension (2 Channels)</t>
  </si>
  <si>
    <t>XCAPI fax extension (2 Channels) with T38 standard and Softfax</t>
  </si>
  <si>
    <t>XCAPI-Security extension with TLS/SRTP (2 Channels)</t>
  </si>
  <si>
    <t>Total 3rd Party</t>
  </si>
  <si>
    <t>Total Service</t>
  </si>
  <si>
    <t>Total Wireless</t>
  </si>
  <si>
    <t>IP Phones (incl. Accessories)</t>
  </si>
  <si>
    <t>Analogue Adapter (incl. Accessories)</t>
  </si>
  <si>
    <t>Power Supply (PSU, PoE Adapter, Power coord)</t>
  </si>
  <si>
    <t>PBX Licenses</t>
  </si>
  <si>
    <t>PBX Port Licenses</t>
  </si>
  <si>
    <t>Standby Licenses</t>
  </si>
  <si>
    <t>IPVA Licenses</t>
  </si>
  <si>
    <t>Voicemail Licenses</t>
  </si>
  <si>
    <t>myPBX Licenses</t>
  </si>
  <si>
    <t>Video Licenses</t>
  </si>
  <si>
    <t>Mobility Licenses</t>
  </si>
  <si>
    <t>Fax Licenses</t>
  </si>
  <si>
    <t>Application Sharing Licenses</t>
  </si>
  <si>
    <t>WebRTC Channel-Licenses</t>
  </si>
  <si>
    <t>Softwarephone Licenses</t>
  </si>
  <si>
    <t>Queue Monitor Licenses</t>
  </si>
  <si>
    <t>Operator Licenses</t>
  </si>
  <si>
    <t>Reporting Licenses</t>
  </si>
  <si>
    <t>VoiceRecording Licenses</t>
  </si>
  <si>
    <t>Software Service for</t>
  </si>
  <si>
    <t>year[s]</t>
  </si>
  <si>
    <t>IP DECT Base stations (incl. Accessories)</t>
  </si>
  <si>
    <t>IP DECT Handsets ((incl. Accessories)</t>
  </si>
  <si>
    <t>WLAN Phone + Accessories</t>
  </si>
  <si>
    <t>Silver Maintenance</t>
  </si>
  <si>
    <t>Gold Maintenance</t>
  </si>
  <si>
    <t>Gold onsite Maintenance</t>
  </si>
  <si>
    <t>Overview offer</t>
  </si>
  <si>
    <t>Valid until</t>
  </si>
  <si>
    <t>Here you can put in several discounts:</t>
  </si>
  <si>
    <t>Discount 1 (e.g. Hardware)</t>
  </si>
  <si>
    <t>Discount 2 (e.g: Software)</t>
  </si>
  <si>
    <t>Discount 3 (e.g: SSA)</t>
  </si>
  <si>
    <t>Discount 4 (e.g. Service)</t>
  </si>
  <si>
    <t>RRP</t>
  </si>
  <si>
    <t>Discount Customer</t>
  </si>
  <si>
    <t>Offer Customer</t>
  </si>
  <si>
    <t>Total Hardware</t>
  </si>
  <si>
    <t>Total UC Licenses</t>
  </si>
  <si>
    <t>Total Application Licenses</t>
  </si>
  <si>
    <t>Total Software Service</t>
  </si>
  <si>
    <t>Onsite Service</t>
  </si>
  <si>
    <t>Implementiation</t>
  </si>
  <si>
    <t>Configuration</t>
  </si>
  <si>
    <t>Total Onsite Service</t>
  </si>
  <si>
    <t>Total PBX Licenses</t>
  </si>
  <si>
    <t>Your discounts ('customer offer')</t>
  </si>
  <si>
    <t>Choose your Partner Status</t>
  </si>
  <si>
    <t>Your Discount</t>
  </si>
  <si>
    <t>Beware: The customer discounts are automatically taken from `Customer Offer'</t>
  </si>
  <si>
    <t>Beware: The reseller discounts can be changed manually</t>
  </si>
  <si>
    <t>Discount Reseller</t>
  </si>
  <si>
    <t>Purchase price Reseller</t>
  </si>
  <si>
    <t>Margin %</t>
  </si>
  <si>
    <t>Contribution Margin in €</t>
  </si>
  <si>
    <t xml:space="preserve">Print view total </t>
  </si>
  <si>
    <t>D81ex</t>
  </si>
  <si>
    <r>
      <t xml:space="preserve">Warranty extension after purchase and within warranty period: </t>
    </r>
    <r>
      <rPr>
        <sz val="10"/>
        <rFont val="Calibri"/>
        <family val="2"/>
      </rPr>
      <t xml:space="preserve">Only available within the warranty period of the hardware. Maximum warranty is 5 years (1 year manufacturer warranty and a maximum of 4 years extension) Attention: the warranty extension has to be bound to the serial number within the warranty period of the device, that means within 12 months after purchase. If a warranty extension has been bound to a certain device it is not possible to bind another warranty extension to this device. </t>
    </r>
  </si>
  <si>
    <t>Hardware Maintenance agreement swap service for innovaphone products</t>
  </si>
  <si>
    <t>General information concerning hardware maintenance agreement (HMA)</t>
  </si>
  <si>
    <t>The company innovaphone AG - subsequently called innovaphone – carries out the following services for the specific product with the serial number stated and within the duration stated:</t>
  </si>
  <si>
    <t>The object of the swap service is to restore the device to its initial state. Configuration, respectively restoring an old configuration or transferring an existing configuration is not part of the swap service.</t>
  </si>
  <si>
    <t>Rectifying fundamental problems with the device’s software or hardware, which already existed when the product was purchased, is not part of the service. The right to normal guarantee and warranties are not influenced by this swap service and continue to be effective.</t>
  </si>
  <si>
    <t>The fee is charged so that in the event of hardware failure, replacement devices are provided within the duration period to be pre-exchanged free of charge. Swap does not mean entitlement to a new device, but to the delivery of a device which is technically at least of the same standard, possibly a newer model.</t>
  </si>
  <si>
    <t xml:space="preserve">Software service is not part of this hardware maintenance agreement, but can be ordered separately. A current software service is not a pre-requisite for using services from this swap service. </t>
  </si>
  <si>
    <t>Configuration, backup and restore, user support in setting up and configuring components are not part of this swap service.</t>
  </si>
  <si>
    <t>Necessary for using the service</t>
  </si>
  <si>
    <r>
      <t>·</t>
    </r>
    <r>
      <rPr>
        <sz val="7"/>
        <rFont val="Times New Roman"/>
        <family val="1"/>
      </rPr>
      <t xml:space="preserve">        </t>
    </r>
    <r>
      <rPr>
        <sz val="10"/>
        <rFont val="Arial"/>
        <family val="2"/>
      </rPr>
      <t>Verification according to checklist A in appendix before notifying of a defect.</t>
    </r>
  </si>
  <si>
    <r>
      <t>·</t>
    </r>
    <r>
      <rPr>
        <sz val="7"/>
        <rFont val="Times New Roman"/>
        <family val="1"/>
      </rPr>
      <t xml:space="preserve">        </t>
    </r>
    <r>
      <rPr>
        <sz val="10"/>
        <rFont val="Arial"/>
        <family val="2"/>
      </rPr>
      <t>Calling hotline.</t>
    </r>
  </si>
  <si>
    <r>
      <t>·</t>
    </r>
    <r>
      <rPr>
        <sz val="7"/>
        <rFont val="Times New Roman"/>
        <family val="1"/>
      </rPr>
      <t xml:space="preserve">        </t>
    </r>
    <r>
      <rPr>
        <sz val="10"/>
        <rFont val="Arial"/>
        <family val="2"/>
      </rPr>
      <t>Stating HMA ID and the device serial number.</t>
    </r>
  </si>
  <si>
    <r>
      <t>·</t>
    </r>
    <r>
      <rPr>
        <sz val="7"/>
        <rFont val="Times New Roman"/>
        <family val="1"/>
      </rPr>
      <t xml:space="preserve">        </t>
    </r>
    <r>
      <rPr>
        <sz val="10"/>
        <rFont val="Arial"/>
        <family val="2"/>
      </rPr>
      <t>Handing over a detailed failure description.</t>
    </r>
  </si>
  <si>
    <r>
      <t>·</t>
    </r>
    <r>
      <rPr>
        <sz val="7"/>
        <rFont val="Times New Roman"/>
        <family val="1"/>
      </rPr>
      <t xml:space="preserve">        </t>
    </r>
    <r>
      <rPr>
        <sz val="10"/>
        <rFont val="Arial"/>
        <family val="2"/>
      </rPr>
      <t>Stating location of hardware and contact person incl. telephone number and email address (verification of the information as stated in this contract).</t>
    </r>
  </si>
  <si>
    <r>
      <t>·</t>
    </r>
    <r>
      <rPr>
        <sz val="7"/>
        <rFont val="Times New Roman"/>
        <family val="1"/>
      </rPr>
      <t xml:space="preserve">        </t>
    </r>
    <r>
      <rPr>
        <sz val="10"/>
        <rFont val="Arial"/>
        <family val="2"/>
      </rPr>
      <t>If technically possible, on request permission is to be granted for remote access to the device.</t>
    </r>
  </si>
  <si>
    <r>
      <t>·</t>
    </r>
    <r>
      <rPr>
        <sz val="7"/>
        <rFont val="Times New Roman"/>
        <family val="1"/>
      </rPr>
      <t xml:space="preserve">        </t>
    </r>
    <r>
      <rPr>
        <sz val="10"/>
        <rFont val="Arial"/>
        <family val="2"/>
      </rPr>
      <t>Once these points have been verified and should the hotline determine a hardware defect, then an RMA (Return Material Authorisation) number is allocated for further reference and the hotline initiates the swap within service hours according to the hardware maintenance agreed upon. The service time begins at the point of time when the claim has been determined.</t>
    </r>
  </si>
  <si>
    <r>
      <t xml:space="preserve">Hardware maintenance </t>
    </r>
    <r>
      <rPr>
        <b/>
        <i/>
        <sz val="12"/>
        <rFont val="Arial"/>
        <family val="2"/>
      </rPr>
      <t>Silver</t>
    </r>
  </si>
  <si>
    <t>A replacement device will be sent out to the hardware location on the same day if notification and verification of a failure takes place before 3pm on working days, and on the next working day if notification takes place after 3pm on working days. Logistic companies take between one and three working days. Should the hardware be outside of Germany, yet in a European country, then shipment should usually take 1-3 additional working days dependent on location. Shipment could take longer for countries outside of Europe. The recipient is responsible for taking care of customs and paying any custom duties and taxes incurred.</t>
  </si>
  <si>
    <t>The end customer arranges for a free, insured return shipment of the defect device with all accessories in the shipping box at the latest by the third day after the swap device has arrived. For shipping please state the RMA number and include a meaningful failure description and send to the address provided.</t>
  </si>
  <si>
    <r>
      <t>The following days do not count as working days: Saturdays, Sundays, public holidays in both the dispatch and recipient countries. Furthermore the 24</t>
    </r>
    <r>
      <rPr>
        <vertAlign val="superscript"/>
        <sz val="10"/>
        <rFont val="Arial"/>
        <family val="2"/>
      </rPr>
      <t>th</t>
    </r>
    <r>
      <rPr>
        <sz val="10"/>
        <rFont val="Arial"/>
        <family val="2"/>
      </rPr>
      <t xml:space="preserve"> December, 31</t>
    </r>
    <r>
      <rPr>
        <vertAlign val="superscript"/>
        <sz val="10"/>
        <rFont val="Arial"/>
        <family val="2"/>
      </rPr>
      <t>st</t>
    </r>
    <r>
      <rPr>
        <sz val="10"/>
        <rFont val="Arial"/>
        <family val="2"/>
      </rPr>
      <t xml:space="preserve"> December, Shrove Monday and Shrove Tuesday do not count as working days.</t>
    </r>
  </si>
  <si>
    <r>
      <t xml:space="preserve">Hardware maintenance </t>
    </r>
    <r>
      <rPr>
        <b/>
        <i/>
        <sz val="12"/>
        <rFont val="Arial"/>
        <family val="2"/>
      </rPr>
      <t>Gold</t>
    </r>
  </si>
  <si>
    <t>If the malfunction is reported and verified by 3pm on a working day then a replacement device is sent to the hardware location on the same day; and on the next day should the malfunction be reported after 3pm. The device is sent as an express delivery, and will arrive at locations in Germany on the next working day before 10.30am and by 12.00 noon on a Saturday. Should the hardware be located outside of Germany, yet in Europe, then logistics should usually take 1-3 working days dependant on location. Locations outside of Europe could take longer. The recipient is responsible for taking care of customs and paying any custom duties and taxes incurred.</t>
  </si>
  <si>
    <r>
      <t xml:space="preserve">Hardware maintenance </t>
    </r>
    <r>
      <rPr>
        <b/>
        <i/>
        <sz val="12"/>
        <rFont val="Arial"/>
        <family val="2"/>
      </rPr>
      <t>Gold onsite</t>
    </r>
  </si>
  <si>
    <t xml:space="preserve">A qualified malfunction report and verification of malfunction by 3pm on working days, means the same day replacement of defect hardware will take place at the hardware location within 4 hours. Reporting after 3pm means the swap will take place on the next day at latest by 12 noon. </t>
  </si>
  <si>
    <t>The swap will be carried out by a courier, who will immediately take and return the defect device to us. The courier does not carry out any maintenance work or configurations.</t>
  </si>
  <si>
    <t>This service is not always available across Germany/Europe without limitation. The location must be checked prior to the agreement being signed and in the event of changing location.</t>
  </si>
  <si>
    <t xml:space="preserve">Should testing of the swapped device prove that there is no malfunction justifying the swap service in this agreement, then a “No Fault Found charge” of € 150 will be charged. </t>
  </si>
  <si>
    <t xml:space="preserve">Should testing of the swapped device show that the malfunction is not a part of the innovaphone guarantee regulations, respectively is the result of misuse or operation under unsuitable conditions, then the repair of the device will be charged. </t>
  </si>
  <si>
    <t xml:space="preserve">The valid guarantee regulations for the device and the requirements for environment conditions are included in the initial delivery of the device, respectively they can be requested from innovaphone. </t>
  </si>
  <si>
    <t>Service is linked between the device and the location stated. innovaphone should immediately be informed in writing of any change in location. On changing location the customer has the right to terminate the HMA, the proportion of the fee paid will be reimbursed accordingly. Respectively changing over to a different hardware maintenance may be recommended, as not every hardware maintenance is available at every location. Should innovaphone not be informed of a change in location, and in the event of malfunction, innovaphone has the right to deny swapping the device or has the right to demand the swap is undertaken at the location known to innovaphone. The HMA can be sold on or rented out together with the device. The prerequisite is that innovaphone is informed of the location and the address of the new location.</t>
  </si>
  <si>
    <t>On paying the fee, the customer recognises that innovaphone is not liable for consequential damage resulting from services not rendered or rendered incorrectly. The parties are mutually liable only in the event of gross negligence or malicious intent for damage other than on the hardware included in this HMA. Absolutely no liability is accepted for replacing or recovering data, for loss of earnings or other indirect damage, furthermore absolutely no liability is accepted for release from any third party claims through lack of available services or malfunctions.</t>
  </si>
  <si>
    <t xml:space="preserve">In cases where it can be proven that the services contractually agreed upon have not been fulfilled and the fault lies with innovaphone, the customer has the right to cancel the HMA for the respective product in writing within 14 days of the occurrence and the fee will be reimbursed proportionately. </t>
  </si>
  <si>
    <t>The fee is to be paid in advance for the entire duration. innovaphone has the right to deny services claimed from unpaid agreements until these have been fully paid. This does not extend the service agreement term. Should the reseller not be the user of the service, but sells on the service and should the reseller not have completely paid for the services then innovaphone reserves the right to also deny performing services for these end customers.</t>
  </si>
  <si>
    <t>The innovaphone AG general terms and conditions apply.</t>
  </si>
  <si>
    <t>02-00023-002</t>
  </si>
  <si>
    <t>IP1202 / IP1202e / IP1202/4 additional casing</t>
  </si>
  <si>
    <t>IP1202 / IP1202e / 1202/4 additional casing</t>
  </si>
  <si>
    <t xml:space="preserve">PRI, BRI and Channel Licenses </t>
  </si>
  <si>
    <t>Gateways (incl. Accessories, w/o interfaces)</t>
  </si>
  <si>
    <t>IP 29-4 - Analogue Adapter incl. 4 analogue interfaces</t>
  </si>
  <si>
    <t>IP29-4 - Analogue Adapter</t>
  </si>
  <si>
    <t>01-00029-004</t>
  </si>
  <si>
    <t>IP29-4</t>
  </si>
  <si>
    <t>12-00400-062</t>
  </si>
  <si>
    <t>IP29-4 - GVL-purchase</t>
  </si>
  <si>
    <t>12-00500-062</t>
  </si>
  <si>
    <t>Silber Support IP29-4</t>
  </si>
  <si>
    <t>12-00300-131</t>
  </si>
  <si>
    <t>12-00300-132</t>
  </si>
  <si>
    <t>Gold Support IP29-4</t>
  </si>
  <si>
    <t>12-00300-133</t>
  </si>
  <si>
    <t>Gold onsite Support IP29-4</t>
  </si>
  <si>
    <t>Warranty Extension on purchase for IP29-4</t>
  </si>
  <si>
    <t>Warranty Extension after purchase for IP29-4</t>
  </si>
  <si>
    <t>IP29-4 - GVL-within warranty</t>
  </si>
  <si>
    <t>Discount 7</t>
  </si>
  <si>
    <t>Discount 5</t>
  </si>
  <si>
    <t>Discount 6</t>
  </si>
  <si>
    <t>Version: March 2017</t>
  </si>
  <si>
    <t>IP64 (not including Charger/PSU)</t>
  </si>
  <si>
    <t>IP64</t>
  </si>
  <si>
    <t>50-00064-001</t>
  </si>
  <si>
    <t>Charger und PSU IP61/IP63/IP64 EU</t>
  </si>
  <si>
    <t>Charger und PSU IP61/IP63/IP64 UK/US/AUS</t>
  </si>
  <si>
    <t>Charger and PSU IP61/IP63/IP64 EU</t>
  </si>
  <si>
    <t>Charger and PSU IP61/P63/IP64 UK/US/AUS</t>
  </si>
  <si>
    <t>DECT Battery IP61 / IP64</t>
  </si>
  <si>
    <t>Multicharger IP61/IP63/IP64</t>
  </si>
  <si>
    <t>Security chain IP61 / IP63 / IP64</t>
  </si>
  <si>
    <t>Standard belt clip IP61 / IP64</t>
  </si>
  <si>
    <t>Leather case IP61</t>
  </si>
  <si>
    <t>Leather case IP64</t>
  </si>
  <si>
    <t>Ledertasche für IP62 / IP64</t>
  </si>
  <si>
    <t>50-00060-026</t>
  </si>
  <si>
    <t>Headset IP61 / IP63</t>
  </si>
  <si>
    <t>Headset IP64</t>
  </si>
  <si>
    <t>Headset für IP61 / IP62 / IP64</t>
  </si>
  <si>
    <t>50-00060-030</t>
  </si>
  <si>
    <t>Headsetkabel mit Klinkenstecke für IP61 / IP62 / IP64</t>
  </si>
  <si>
    <t>Headset cable with phone jack IP64</t>
  </si>
  <si>
    <t>50-00060-029</t>
  </si>
  <si>
    <t>IP62 WLAN phone (without Charger/PSU)</t>
  </si>
  <si>
    <t>Headset IP62</t>
  </si>
  <si>
    <t>Desktop programming kit IP62</t>
  </si>
  <si>
    <t>Desktop programming kit IP64</t>
  </si>
  <si>
    <t>Multicharger IP61 / IP63 / IP64</t>
  </si>
  <si>
    <t>IP64-GVL-purchase</t>
  </si>
  <si>
    <t>Warranty Extension on purchase for IP64</t>
  </si>
  <si>
    <t>Warranty Extension after purchase for IP64</t>
  </si>
  <si>
    <t>IP64-GVL-within warranty</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</si>
</sst>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0\ _€"/>
    <numFmt numFmtId="165" formatCode="#,##0.00\ &quot;€&quot;"/>
    <numFmt numFmtId="166" formatCode="#,##0\ &quot;€&quot;"/>
    <numFmt numFmtId="167" formatCode="0.0%"/>
    <numFmt numFmtId="168" formatCode="[$-409]mmmm\ d\,\ yyyy;@"/>
  </numFmts>
  <fonts count="58" x14ac:knownFonts="1">
    <font>
      <sz val="10"/>
      <name val="Tahoma"/>
    </font>
    <font>
      <sz val="8"/>
      <name val="Tahoma"/>
      <family val="2"/>
    </font>
    <font>
      <sz val="8"/>
      <name val="Arial"/>
      <family val="2"/>
    </font>
    <font>
      <strike/>
      <sz val="10"/>
      <name val="Tahoma"/>
      <family val="2"/>
    </font>
    <font>
      <sz val="8"/>
      <name val="Arial"/>
      <family val="2"/>
    </font>
    <font>
      <sz val="10"/>
      <name val="Arial"/>
      <family val="2"/>
    </font>
    <font>
      <sz val="10"/>
      <name val="Arial"/>
      <family val="2"/>
    </font>
    <font>
      <b/>
      <sz val="9"/>
      <color indexed="81"/>
      <name val="Tahoma"/>
      <family val="2"/>
    </font>
    <font>
      <u/>
      <sz val="10"/>
      <color theme="10"/>
      <name val="Tahoma"/>
      <family val="2"/>
    </font>
    <font>
      <sz val="11"/>
      <color indexed="81"/>
      <name val="Tahoma"/>
      <family val="2"/>
    </font>
    <font>
      <b/>
      <sz val="20"/>
      <name val="Calibri"/>
      <family val="2"/>
    </font>
    <font>
      <b/>
      <sz val="10"/>
      <color indexed="9"/>
      <name val="Calibri"/>
      <family val="2"/>
    </font>
    <font>
      <sz val="10"/>
      <name val="Calibri"/>
      <family val="2"/>
    </font>
    <font>
      <b/>
      <sz val="10"/>
      <name val="Calibri"/>
      <family val="2"/>
    </font>
    <font>
      <sz val="7"/>
      <color rgb="FF5A5A5A"/>
      <name val="Calibri"/>
      <family val="2"/>
    </font>
    <font>
      <b/>
      <sz val="9"/>
      <name val="Calibri"/>
      <family val="2"/>
    </font>
    <font>
      <sz val="10"/>
      <color rgb="FF5A5A5A"/>
      <name val="Calibri"/>
      <family val="2"/>
    </font>
    <font>
      <b/>
      <sz val="14"/>
      <name val="Calibri"/>
      <family val="2"/>
    </font>
    <font>
      <b/>
      <sz val="12"/>
      <name val="Calibri"/>
      <family val="2"/>
    </font>
    <font>
      <sz val="14"/>
      <name val="Calibri"/>
      <family val="2"/>
    </font>
    <font>
      <b/>
      <sz val="12"/>
      <color rgb="FFFF0000"/>
      <name val="Calibri"/>
      <family val="2"/>
    </font>
    <font>
      <b/>
      <sz val="10"/>
      <color rgb="FFFF0000"/>
      <name val="Calibri"/>
      <family val="2"/>
    </font>
    <font>
      <sz val="11"/>
      <name val="Calibri"/>
      <family val="2"/>
    </font>
    <font>
      <sz val="12"/>
      <name val="Calibri"/>
      <family val="2"/>
    </font>
    <font>
      <u/>
      <sz val="10"/>
      <color theme="10"/>
      <name val="Calibri"/>
      <family val="2"/>
    </font>
    <font>
      <sz val="10"/>
      <color rgb="FFFF0000"/>
      <name val="Calibri"/>
      <family val="2"/>
    </font>
    <font>
      <sz val="10"/>
      <color indexed="10"/>
      <name val="Calibri"/>
      <family val="2"/>
    </font>
    <font>
      <strike/>
      <sz val="10"/>
      <name val="Calibri"/>
      <family val="2"/>
    </font>
    <font>
      <b/>
      <sz val="11"/>
      <name val="Calibri"/>
      <family val="2"/>
    </font>
    <font>
      <b/>
      <u/>
      <sz val="20"/>
      <name val="Calibri"/>
      <family val="2"/>
    </font>
    <font>
      <b/>
      <i/>
      <u/>
      <sz val="18"/>
      <name val="Calibri"/>
      <family val="2"/>
    </font>
    <font>
      <b/>
      <sz val="16"/>
      <color theme="0"/>
      <name val="Calibri"/>
      <family val="2"/>
    </font>
    <font>
      <b/>
      <sz val="10"/>
      <color theme="0"/>
      <name val="Calibri"/>
      <family val="2"/>
    </font>
    <font>
      <b/>
      <sz val="11"/>
      <color theme="0"/>
      <name val="Calibri"/>
      <family val="2"/>
    </font>
    <font>
      <b/>
      <u/>
      <sz val="14"/>
      <color theme="1"/>
      <name val="Calibri"/>
      <family val="2"/>
      <scheme val="minor"/>
    </font>
    <font>
      <i/>
      <sz val="11"/>
      <color theme="1"/>
      <name val="Calibri"/>
      <family val="2"/>
      <scheme val="minor"/>
    </font>
    <font>
      <sz val="10"/>
      <name val="Tahoma"/>
      <family val="2"/>
    </font>
    <font>
      <b/>
      <sz val="10"/>
      <name val="Tahoma"/>
      <family val="2"/>
    </font>
    <font>
      <sz val="16"/>
      <name val="Arial"/>
      <family val="2"/>
    </font>
    <font>
      <b/>
      <i/>
      <sz val="10"/>
      <name val="Arial"/>
      <family val="2"/>
    </font>
    <font>
      <sz val="10"/>
      <name val="Symbol"/>
      <family val="1"/>
      <charset val="2"/>
    </font>
    <font>
      <sz val="7"/>
      <name val="Times New Roman"/>
      <family val="1"/>
    </font>
    <font>
      <b/>
      <i/>
      <sz val="12"/>
      <name val="Arial"/>
      <family val="2"/>
    </font>
    <font>
      <sz val="10"/>
      <color indexed="81"/>
      <name val="Tahoma"/>
      <family val="2"/>
    </font>
    <font>
      <sz val="10"/>
      <name val="Calibri"/>
      <family val="2"/>
      <scheme val="minor"/>
    </font>
    <font>
      <sz val="14"/>
      <color rgb="FFFF0000"/>
      <name val="Calibri"/>
      <family val="2"/>
    </font>
    <font>
      <sz val="14"/>
      <color rgb="FFC00000"/>
      <name val="Calibri"/>
      <family val="2"/>
    </font>
    <font>
      <sz val="10"/>
      <name val="Tahoma"/>
      <family val="2"/>
    </font>
    <font>
      <b/>
      <i/>
      <u/>
      <sz val="14"/>
      <color rgb="FFC00000"/>
      <name val="Calibri"/>
      <family val="2"/>
    </font>
    <font>
      <b/>
      <sz val="10"/>
      <color theme="0"/>
      <name val="Tahoma"/>
      <family val="2"/>
    </font>
    <font>
      <b/>
      <sz val="10"/>
      <color rgb="FFC00000"/>
      <name val="Calibri"/>
      <family val="2"/>
    </font>
    <font>
      <sz val="9"/>
      <name val="Tahoma"/>
      <family val="2"/>
    </font>
    <font>
      <sz val="9"/>
      <color indexed="81"/>
      <name val="Tahoma"/>
      <family val="2"/>
    </font>
    <font>
      <strike/>
      <sz val="9"/>
      <name val="Tahoma"/>
      <family val="2"/>
    </font>
    <font>
      <sz val="11"/>
      <color rgb="FFC00000"/>
      <name val="Calibri"/>
      <family val="2"/>
    </font>
    <font>
      <b/>
      <sz val="10"/>
      <name val="Arial"/>
      <family val="2"/>
    </font>
    <font>
      <vertAlign val="superscript"/>
      <sz val="10"/>
      <name val="Arial"/>
      <family val="2"/>
    </font>
    <font>
      <b/>
      <sz val="9"/>
      <color indexed="81"/>
      <name val="Tahoma"/>
      <charset val="1"/>
    </font>
  </fonts>
  <fills count="14">
    <fill>
      <patternFill patternType="none"/>
    </fill>
    <fill>
      <patternFill patternType="gray125"/>
    </fill>
    <fill>
      <patternFill patternType="solid">
        <fgColor indexed="21"/>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2" tint="-9.9978637043366805E-2"/>
        <bgColor indexed="64"/>
      </patternFill>
    </fill>
    <fill>
      <patternFill patternType="solid">
        <fgColor theme="6" tint="0.59999389629810485"/>
        <bgColor indexed="64"/>
      </patternFill>
    </fill>
    <fill>
      <patternFill patternType="solid">
        <fgColor theme="4" tint="0.79998168889431442"/>
        <bgColor indexed="64"/>
      </patternFill>
    </fill>
    <fill>
      <patternFill patternType="solid">
        <fgColor rgb="FF008080"/>
        <bgColor indexed="64"/>
      </patternFill>
    </fill>
    <fill>
      <patternFill patternType="solid">
        <fgColor theme="2" tint="-9.9948118533890809E-2"/>
        <bgColor indexed="64"/>
      </patternFill>
    </fill>
    <fill>
      <patternFill patternType="solid">
        <fgColor theme="6" tint="0.79998168889431442"/>
        <bgColor indexed="64"/>
      </patternFill>
    </fill>
    <fill>
      <patternFill patternType="solid">
        <fgColor theme="9" tint="0.39997558519241921"/>
        <bgColor indexed="64"/>
      </patternFill>
    </fill>
    <fill>
      <patternFill patternType="solid">
        <fgColor theme="0"/>
        <bgColor indexed="64"/>
      </patternFill>
    </fill>
    <fill>
      <patternFill patternType="solid">
        <fgColor theme="3" tint="0.79998168889431442"/>
        <bgColor indexed="64"/>
      </patternFill>
    </fill>
  </fills>
  <borders count="91">
    <border>
      <left/>
      <right/>
      <top/>
      <bottom/>
      <diagonal/>
    </border>
    <border>
      <left style="hair">
        <color indexed="49"/>
      </left>
      <right style="hair">
        <color indexed="49"/>
      </right>
      <top style="hair">
        <color indexed="49"/>
      </top>
      <bottom style="hair">
        <color indexed="49"/>
      </bottom>
      <diagonal/>
    </border>
    <border>
      <left style="hair">
        <color indexed="49"/>
      </left>
      <right/>
      <top style="hair">
        <color indexed="49"/>
      </top>
      <bottom style="hair">
        <color indexed="49"/>
      </bottom>
      <diagonal/>
    </border>
    <border>
      <left/>
      <right/>
      <top style="hair">
        <color indexed="49"/>
      </top>
      <bottom style="hair">
        <color indexed="49"/>
      </bottom>
      <diagonal/>
    </border>
    <border>
      <left style="hair">
        <color indexed="49"/>
      </left>
      <right style="hair">
        <color indexed="49"/>
      </right>
      <top style="hair">
        <color indexed="49"/>
      </top>
      <bottom/>
      <diagonal/>
    </border>
    <border>
      <left style="hair">
        <color indexed="49"/>
      </left>
      <right style="hair">
        <color indexed="49"/>
      </right>
      <top style="mediumDashed">
        <color indexed="64"/>
      </top>
      <bottom style="hair">
        <color indexed="49"/>
      </bottom>
      <diagonal/>
    </border>
    <border>
      <left style="hair">
        <color indexed="49"/>
      </left>
      <right style="hair">
        <color indexed="49"/>
      </right>
      <top/>
      <bottom style="hair">
        <color indexed="49"/>
      </bottom>
      <diagonal/>
    </border>
    <border>
      <left style="hair">
        <color indexed="49"/>
      </left>
      <right style="hair">
        <color indexed="49"/>
      </right>
      <top/>
      <bottom/>
      <diagonal/>
    </border>
    <border>
      <left/>
      <right style="hair">
        <color indexed="49"/>
      </right>
      <top style="hair">
        <color indexed="49"/>
      </top>
      <bottom style="hair">
        <color indexed="49"/>
      </bottom>
      <diagonal/>
    </border>
    <border>
      <left style="thin">
        <color indexed="64"/>
      </left>
      <right style="thin">
        <color indexed="64"/>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diagonal/>
    </border>
    <border>
      <left style="hair">
        <color indexed="49"/>
      </left>
      <right style="hair">
        <color indexed="49"/>
      </right>
      <top style="mediumDashed">
        <color indexed="64"/>
      </top>
      <bottom/>
      <diagonal/>
    </border>
    <border>
      <left style="hair">
        <color indexed="49"/>
      </left>
      <right style="hair">
        <color indexed="49"/>
      </right>
      <top style="mediumDashed">
        <color indexed="64"/>
      </top>
      <bottom style="mediumDashed">
        <color indexed="64"/>
      </bottom>
      <diagonal/>
    </border>
    <border>
      <left style="hair">
        <color indexed="49"/>
      </left>
      <right style="hair">
        <color indexed="49"/>
      </right>
      <top style="mediumDashDot">
        <color indexed="64"/>
      </top>
      <bottom style="hair">
        <color indexed="49"/>
      </bottom>
      <diagonal/>
    </border>
    <border>
      <left style="hair">
        <color indexed="49"/>
      </left>
      <right style="hair">
        <color indexed="49"/>
      </right>
      <top style="mediumDashDot">
        <color indexed="64"/>
      </top>
      <bottom/>
      <diagonal/>
    </border>
    <border>
      <left style="hair">
        <color indexed="49"/>
      </left>
      <right style="hair">
        <color indexed="49"/>
      </right>
      <top style="dashDot">
        <color indexed="64"/>
      </top>
      <bottom style="hair">
        <color indexed="49"/>
      </bottom>
      <diagonal/>
    </border>
    <border>
      <left style="hair">
        <color indexed="49"/>
      </left>
      <right/>
      <top style="hair">
        <color indexed="49"/>
      </top>
      <bottom/>
      <diagonal/>
    </border>
    <border>
      <left style="hair">
        <color indexed="49"/>
      </left>
      <right style="hair">
        <color indexed="49"/>
      </right>
      <top style="double">
        <color indexed="64"/>
      </top>
      <bottom style="hair">
        <color indexed="49"/>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hair">
        <color indexed="49"/>
      </left>
      <right style="hair">
        <color indexed="49"/>
      </right>
      <top style="medium">
        <color indexed="64"/>
      </top>
      <bottom style="medium">
        <color indexed="64"/>
      </bottom>
      <diagonal/>
    </border>
    <border>
      <left style="hair">
        <color indexed="49"/>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hair">
        <color indexed="49"/>
      </left>
      <right/>
      <top/>
      <bottom style="hair">
        <color indexed="49"/>
      </bottom>
      <diagonal/>
    </border>
    <border>
      <left style="hair">
        <color indexed="49"/>
      </left>
      <right/>
      <top/>
      <bottom/>
      <diagonal/>
    </border>
    <border>
      <left style="hair">
        <color indexed="49"/>
      </left>
      <right style="hair">
        <color indexed="49"/>
      </right>
      <top style="medium">
        <color indexed="64"/>
      </top>
      <bottom style="hair">
        <color indexed="49"/>
      </bottom>
      <diagonal/>
    </border>
    <border>
      <left style="hair">
        <color indexed="49"/>
      </left>
      <right style="medium">
        <color indexed="64"/>
      </right>
      <top style="medium">
        <color indexed="64"/>
      </top>
      <bottom style="hair">
        <color indexed="49"/>
      </bottom>
      <diagonal/>
    </border>
    <border>
      <left style="hair">
        <color indexed="49"/>
      </left>
      <right style="medium">
        <color indexed="64"/>
      </right>
      <top style="hair">
        <color indexed="49"/>
      </top>
      <bottom style="hair">
        <color indexed="49"/>
      </bottom>
      <diagonal/>
    </border>
    <border>
      <left style="medium">
        <color indexed="64"/>
      </left>
      <right style="hair">
        <color indexed="49"/>
      </right>
      <top style="hair">
        <color indexed="49"/>
      </top>
      <bottom style="hair">
        <color indexed="49"/>
      </bottom>
      <diagonal/>
    </border>
    <border>
      <left style="medium">
        <color indexed="64"/>
      </left>
      <right style="hair">
        <color indexed="49"/>
      </right>
      <top style="hair">
        <color indexed="49"/>
      </top>
      <bottom style="medium">
        <color indexed="64"/>
      </bottom>
      <diagonal/>
    </border>
    <border>
      <left style="hair">
        <color indexed="49"/>
      </left>
      <right style="hair">
        <color indexed="49"/>
      </right>
      <top style="hair">
        <color indexed="49"/>
      </top>
      <bottom style="medium">
        <color indexed="64"/>
      </bottom>
      <diagonal/>
    </border>
    <border>
      <left style="hair">
        <color indexed="49"/>
      </left>
      <right style="medium">
        <color indexed="64"/>
      </right>
      <top style="hair">
        <color indexed="49"/>
      </top>
      <bottom style="medium">
        <color indexed="64"/>
      </bottom>
      <diagonal/>
    </border>
    <border>
      <left style="medium">
        <color indexed="64"/>
      </left>
      <right style="hair">
        <color indexed="49"/>
      </right>
      <top style="medium">
        <color indexed="64"/>
      </top>
      <bottom style="hair">
        <color indexed="49"/>
      </bottom>
      <diagonal/>
    </border>
    <border>
      <left/>
      <right style="hair">
        <color indexed="49"/>
      </right>
      <top style="medium">
        <color indexed="64"/>
      </top>
      <bottom style="medium">
        <color indexed="64"/>
      </bottom>
      <diagonal/>
    </border>
    <border>
      <left style="hair">
        <color indexed="49"/>
      </left>
      <right style="hair">
        <color indexed="49"/>
      </right>
      <top style="double">
        <color indexed="64"/>
      </top>
      <bottom style="double">
        <color indexed="64"/>
      </bottom>
      <diagonal/>
    </border>
    <border>
      <left style="thin">
        <color indexed="64"/>
      </left>
      <right style="hair">
        <color indexed="49"/>
      </right>
      <top style="hair">
        <color indexed="49"/>
      </top>
      <bottom style="hair">
        <color indexed="49"/>
      </bottom>
      <diagonal/>
    </border>
    <border>
      <left style="hair">
        <color indexed="49"/>
      </left>
      <right style="thin">
        <color indexed="64"/>
      </right>
      <top style="hair">
        <color indexed="49"/>
      </top>
      <bottom style="hair">
        <color indexed="49"/>
      </bottom>
      <diagonal/>
    </border>
    <border>
      <left style="thin">
        <color indexed="64"/>
      </left>
      <right style="hair">
        <color indexed="49"/>
      </right>
      <top style="hair">
        <color indexed="49"/>
      </top>
      <bottom/>
      <diagonal/>
    </border>
    <border>
      <left style="hair">
        <color indexed="49"/>
      </left>
      <right style="thin">
        <color indexed="64"/>
      </right>
      <top style="hair">
        <color indexed="49"/>
      </top>
      <bottom/>
      <diagonal/>
    </border>
    <border>
      <left style="thin">
        <color indexed="64"/>
      </left>
      <right style="hair">
        <color indexed="49"/>
      </right>
      <top/>
      <bottom style="hair">
        <color indexed="49"/>
      </bottom>
      <diagonal/>
    </border>
    <border>
      <left style="hair">
        <color indexed="49"/>
      </left>
      <right style="thin">
        <color indexed="64"/>
      </right>
      <top/>
      <bottom style="hair">
        <color indexed="49"/>
      </bottom>
      <diagonal/>
    </border>
    <border>
      <left style="thin">
        <color indexed="64"/>
      </left>
      <right/>
      <top style="hair">
        <color indexed="49"/>
      </top>
      <bottom style="hair">
        <color indexed="49"/>
      </bottom>
      <diagonal/>
    </border>
    <border>
      <left style="hair">
        <color indexed="49"/>
      </left>
      <right style="double">
        <color indexed="64"/>
      </right>
      <top style="double">
        <color indexed="64"/>
      </top>
      <bottom style="double">
        <color indexed="64"/>
      </bottom>
      <diagonal/>
    </border>
    <border>
      <left style="hair">
        <color indexed="49"/>
      </left>
      <right style="hair">
        <color indexed="49"/>
      </right>
      <top style="hair">
        <color indexed="49"/>
      </top>
      <bottom style="dashDot">
        <color indexed="64"/>
      </bottom>
      <diagonal/>
    </border>
    <border>
      <left style="medium">
        <color indexed="64"/>
      </left>
      <right/>
      <top style="dashDot">
        <color indexed="64"/>
      </top>
      <bottom/>
      <diagonal/>
    </border>
    <border>
      <left/>
      <right/>
      <top style="dashDot">
        <color indexed="64"/>
      </top>
      <bottom/>
      <diagonal/>
    </border>
    <border>
      <left/>
      <right style="medium">
        <color indexed="64"/>
      </right>
      <top style="dashDot">
        <color indexed="64"/>
      </top>
      <bottom/>
      <diagonal/>
    </border>
    <border>
      <left style="medium">
        <color indexed="64"/>
      </left>
      <right style="hair">
        <color indexed="49"/>
      </right>
      <top style="medium">
        <color indexed="64"/>
      </top>
      <bottom style="medium">
        <color indexed="64"/>
      </bottom>
      <diagonal/>
    </border>
    <border>
      <left style="hair">
        <color indexed="49"/>
      </left>
      <right style="medium">
        <color indexed="64"/>
      </right>
      <top style="medium">
        <color indexed="64"/>
      </top>
      <bottom style="medium">
        <color indexed="64"/>
      </bottom>
      <diagonal/>
    </border>
    <border>
      <left style="double">
        <color indexed="64"/>
      </left>
      <right style="hair">
        <color indexed="49"/>
      </right>
      <top style="double">
        <color indexed="64"/>
      </top>
      <bottom style="double">
        <color indexed="64"/>
      </bottom>
      <diagonal/>
    </border>
    <border>
      <left/>
      <right/>
      <top/>
      <bottom style="hair">
        <color indexed="49"/>
      </bottom>
      <diagonal/>
    </border>
    <border>
      <left style="double">
        <color auto="1"/>
      </left>
      <right style="hair">
        <color indexed="49"/>
      </right>
      <top style="hair">
        <color indexed="49"/>
      </top>
      <bottom style="hair">
        <color indexed="49"/>
      </bottom>
      <diagonal/>
    </border>
    <border>
      <left style="hair">
        <color indexed="49"/>
      </left>
      <right style="double">
        <color auto="1"/>
      </right>
      <top style="hair">
        <color indexed="49"/>
      </top>
      <bottom style="hair">
        <color indexed="49"/>
      </bottom>
      <diagonal/>
    </border>
    <border>
      <left style="double">
        <color auto="1"/>
      </left>
      <right style="hair">
        <color indexed="49"/>
      </right>
      <top style="hair">
        <color indexed="49"/>
      </top>
      <bottom/>
      <diagonal/>
    </border>
    <border>
      <left style="hair">
        <color indexed="49"/>
      </left>
      <right style="double">
        <color auto="1"/>
      </right>
      <top style="hair">
        <color indexed="49"/>
      </top>
      <bottom/>
      <diagonal/>
    </border>
    <border>
      <left style="double">
        <color auto="1"/>
      </left>
      <right style="hair">
        <color indexed="49"/>
      </right>
      <top style="mediumDashed">
        <color auto="1"/>
      </top>
      <bottom style="double">
        <color auto="1"/>
      </bottom>
      <diagonal/>
    </border>
    <border>
      <left style="hair">
        <color indexed="49"/>
      </left>
      <right style="hair">
        <color indexed="49"/>
      </right>
      <top style="mediumDashed">
        <color auto="1"/>
      </top>
      <bottom style="double">
        <color auto="1"/>
      </bottom>
      <diagonal/>
    </border>
    <border>
      <left style="hair">
        <color indexed="49"/>
      </left>
      <right style="double">
        <color auto="1"/>
      </right>
      <top style="mediumDashed">
        <color auto="1"/>
      </top>
      <bottom style="double">
        <color auto="1"/>
      </bottom>
      <diagonal/>
    </border>
    <border>
      <left/>
      <right style="double">
        <color auto="1"/>
      </right>
      <top style="double">
        <color auto="1"/>
      </top>
      <bottom/>
      <diagonal/>
    </border>
    <border>
      <left/>
      <right/>
      <top style="double">
        <color auto="1"/>
      </top>
      <bottom/>
      <diagonal/>
    </border>
    <border>
      <left style="double">
        <color auto="1"/>
      </left>
      <right style="hair">
        <color indexed="49"/>
      </right>
      <top style="mediumDashed">
        <color auto="1"/>
      </top>
      <bottom style="hair">
        <color indexed="49"/>
      </bottom>
      <diagonal/>
    </border>
    <border>
      <left style="hair">
        <color indexed="49"/>
      </left>
      <right style="double">
        <color auto="1"/>
      </right>
      <top style="mediumDashed">
        <color auto="1"/>
      </top>
      <bottom style="hair">
        <color indexed="49"/>
      </bottom>
      <diagonal/>
    </border>
    <border>
      <left style="double">
        <color auto="1"/>
      </left>
      <right/>
      <top style="double">
        <color auto="1"/>
      </top>
      <bottom/>
      <diagonal/>
    </border>
    <border>
      <left/>
      <right style="hair">
        <color indexed="49"/>
      </right>
      <top style="hair">
        <color indexed="49"/>
      </top>
      <bottom/>
      <diagonal/>
    </border>
    <border>
      <left style="hair">
        <color indexed="49"/>
      </left>
      <right style="hair">
        <color indexed="49"/>
      </right>
      <top style="medium">
        <color indexed="64"/>
      </top>
      <bottom/>
      <diagonal/>
    </border>
    <border>
      <left style="medium">
        <color indexed="64"/>
      </left>
      <right style="medium">
        <color indexed="64"/>
      </right>
      <top style="dashDot">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hair">
        <color indexed="49"/>
      </left>
      <right style="medium">
        <color indexed="64"/>
      </right>
      <top style="hair">
        <color indexed="49"/>
      </top>
      <bottom style="double">
        <color indexed="64"/>
      </bottom>
      <diagonal/>
    </border>
    <border>
      <left style="thin">
        <color theme="0"/>
      </left>
      <right style="thin">
        <color theme="0"/>
      </right>
      <top style="thin">
        <color theme="0"/>
      </top>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hair">
        <color indexed="49"/>
      </left>
      <right style="hair">
        <color indexed="49"/>
      </right>
      <top style="hair">
        <color indexed="49"/>
      </top>
      <bottom style="double">
        <color indexed="64"/>
      </bottom>
      <diagonal/>
    </border>
    <border>
      <left style="medium">
        <color indexed="64"/>
      </left>
      <right style="medium">
        <color indexed="64"/>
      </right>
      <top style="dashDot">
        <color indexed="64"/>
      </top>
      <bottom style="medium">
        <color indexed="64"/>
      </bottom>
      <diagonal/>
    </border>
    <border>
      <left style="double">
        <color indexed="64"/>
      </left>
      <right style="medium">
        <color indexed="64"/>
      </right>
      <top style="double">
        <color indexed="64"/>
      </top>
      <bottom style="double">
        <color indexed="64"/>
      </bottom>
      <diagonal/>
    </border>
    <border>
      <left style="hair">
        <color indexed="49"/>
      </left>
      <right/>
      <top style="double">
        <color indexed="64"/>
      </top>
      <bottom/>
      <diagonal/>
    </border>
    <border>
      <left style="medium">
        <color indexed="64"/>
      </left>
      <right style="hair">
        <color indexed="49"/>
      </right>
      <top style="hair">
        <color indexed="49"/>
      </top>
      <bottom/>
      <diagonal/>
    </border>
    <border>
      <left style="medium">
        <color indexed="64"/>
      </left>
      <right style="hair">
        <color indexed="49"/>
      </right>
      <top style="mediumDashed">
        <color indexed="64"/>
      </top>
      <bottom style="hair">
        <color indexed="49"/>
      </bottom>
      <diagonal/>
    </border>
    <border>
      <left style="hair">
        <color indexed="49"/>
      </left>
      <right style="medium">
        <color indexed="64"/>
      </right>
      <top style="mediumDashed">
        <color indexed="64"/>
      </top>
      <bottom style="hair">
        <color indexed="49"/>
      </bottom>
      <diagonal/>
    </border>
    <border>
      <left style="hair">
        <color indexed="49"/>
      </left>
      <right style="hair">
        <color indexed="49"/>
      </right>
      <top style="hair">
        <color indexed="49"/>
      </top>
      <bottom style="mediumDashed">
        <color indexed="64"/>
      </bottom>
      <diagonal/>
    </border>
    <border>
      <left style="hair">
        <color indexed="49"/>
      </left>
      <right style="medium">
        <color indexed="64"/>
      </right>
      <top style="hair">
        <color indexed="49"/>
      </top>
      <bottom style="mediumDashed">
        <color indexed="64"/>
      </bottom>
      <diagonal/>
    </border>
    <border>
      <left style="medium">
        <color indexed="64"/>
      </left>
      <right style="hair">
        <color indexed="49"/>
      </right>
      <top style="double">
        <color indexed="64"/>
      </top>
      <bottom style="double">
        <color indexed="64"/>
      </bottom>
      <diagonal/>
    </border>
  </borders>
  <cellStyleXfs count="14">
    <xf numFmtId="0" fontId="0" fillId="0" borderId="0"/>
    <xf numFmtId="0" fontId="4" fillId="0" borderId="0" applyBorder="0" applyProtection="0">
      <alignment horizontal="left" vertical="top" wrapText="1"/>
      <protection locked="0"/>
    </xf>
    <xf numFmtId="0" fontId="8" fillId="0" borderId="0" applyNumberFormat="0" applyFill="0" applyBorder="0" applyAlignment="0" applyProtection="0"/>
    <xf numFmtId="0" fontId="6" fillId="0" borderId="0"/>
    <xf numFmtId="0" fontId="5" fillId="0" borderId="0"/>
    <xf numFmtId="4" fontId="3" fillId="0" borderId="1" applyAlignment="0">
      <alignment horizontal="left" vertical="center" wrapText="1" indent="1"/>
      <protection locked="0"/>
    </xf>
    <xf numFmtId="0" fontId="2" fillId="0" borderId="0" applyBorder="0" applyProtection="0">
      <alignment horizontal="left" vertical="top" wrapText="1"/>
      <protection locked="0"/>
    </xf>
    <xf numFmtId="9" fontId="47" fillId="0" borderId="0" applyFont="0" applyFill="0" applyBorder="0" applyAlignment="0" applyProtection="0"/>
    <xf numFmtId="0" fontId="2" fillId="0" borderId="0" applyBorder="0" applyProtection="0">
      <alignment horizontal="left" vertical="top" wrapText="1"/>
      <protection locked="0"/>
    </xf>
    <xf numFmtId="0" fontId="36" fillId="0" borderId="0"/>
    <xf numFmtId="0" fontId="5" fillId="0" borderId="0"/>
    <xf numFmtId="0" fontId="5" fillId="0" borderId="0"/>
    <xf numFmtId="4" fontId="3" fillId="0" borderId="1" applyAlignment="0">
      <alignment horizontal="left" vertical="center" wrapText="1" indent="1"/>
      <protection locked="0"/>
    </xf>
    <xf numFmtId="49" fontId="53" fillId="0" borderId="1" applyAlignment="0">
      <alignment horizontal="left" vertical="center" wrapText="1" indent="1"/>
      <protection locked="0"/>
    </xf>
  </cellStyleXfs>
  <cellXfs count="686">
    <xf numFmtId="0" fontId="0" fillId="0" borderId="0" xfId="0"/>
    <xf numFmtId="0" fontId="11" fillId="0" borderId="8" xfId="0" applyFont="1" applyFill="1" applyBorder="1" applyAlignment="1" applyProtection="1">
      <alignment horizontal="left" vertical="center" wrapText="1"/>
      <protection locked="0"/>
    </xf>
    <xf numFmtId="0" fontId="11" fillId="0" borderId="1" xfId="0" applyFont="1" applyFill="1" applyBorder="1" applyAlignment="1" applyProtection="1">
      <alignment horizontal="left" vertical="center" wrapText="1"/>
      <protection locked="0"/>
    </xf>
    <xf numFmtId="0" fontId="11" fillId="2" borderId="6" xfId="0" applyFont="1" applyFill="1" applyBorder="1" applyAlignment="1" applyProtection="1">
      <alignment vertical="center" wrapText="1"/>
      <protection locked="0"/>
    </xf>
    <xf numFmtId="0" fontId="11" fillId="0" borderId="1" xfId="0" applyFont="1" applyFill="1" applyBorder="1" applyAlignment="1" applyProtection="1">
      <alignment vertical="center" wrapText="1"/>
      <protection locked="0"/>
    </xf>
    <xf numFmtId="0" fontId="12" fillId="0" borderId="1" xfId="0" applyFont="1" applyBorder="1" applyAlignment="1" applyProtection="1">
      <alignment wrapText="1"/>
      <protection locked="0"/>
    </xf>
    <xf numFmtId="49" fontId="12" fillId="0" borderId="1" xfId="1" applyNumberFormat="1" applyFont="1" applyFill="1" applyBorder="1" applyAlignment="1" applyProtection="1">
      <alignment horizontal="left" vertical="center" wrapText="1" indent="1"/>
      <protection locked="0"/>
    </xf>
    <xf numFmtId="0" fontId="13" fillId="0" borderId="1" xfId="0" applyFont="1" applyBorder="1" applyAlignment="1" applyProtection="1">
      <alignment horizontal="center" wrapText="1"/>
      <protection locked="0"/>
    </xf>
    <xf numFmtId="0" fontId="12" fillId="0" borderId="1" xfId="1" applyNumberFormat="1" applyFont="1" applyFill="1" applyBorder="1" applyAlignment="1" applyProtection="1">
      <alignment horizontal="left" vertical="center" wrapText="1" indent="1"/>
      <protection locked="0"/>
    </xf>
    <xf numFmtId="165" fontId="12" fillId="0" borderId="1" xfId="1" applyNumberFormat="1" applyFont="1" applyFill="1" applyBorder="1" applyAlignment="1" applyProtection="1">
      <alignment horizontal="center" wrapText="1"/>
      <protection locked="0"/>
    </xf>
    <xf numFmtId="0" fontId="12" fillId="0" borderId="1" xfId="0" applyFont="1" applyBorder="1" applyAlignment="1" applyProtection="1">
      <alignment horizontal="center" wrapText="1"/>
      <protection locked="0"/>
    </xf>
    <xf numFmtId="165" fontId="12" fillId="0" borderId="1" xfId="0" applyNumberFormat="1" applyFont="1" applyBorder="1" applyAlignment="1" applyProtection="1">
      <alignment horizontal="center" wrapText="1"/>
    </xf>
    <xf numFmtId="0" fontId="12" fillId="0" borderId="4" xfId="0" applyFont="1" applyBorder="1" applyAlignment="1" applyProtection="1">
      <alignment wrapText="1"/>
      <protection locked="0"/>
    </xf>
    <xf numFmtId="0" fontId="12" fillId="0" borderId="0" xfId="0" applyFont="1" applyBorder="1" applyAlignment="1" applyProtection="1">
      <alignment wrapText="1"/>
      <protection locked="0"/>
    </xf>
    <xf numFmtId="0" fontId="14" fillId="0" borderId="0" xfId="0" applyFont="1" applyProtection="1">
      <protection locked="0"/>
    </xf>
    <xf numFmtId="0" fontId="12" fillId="0" borderId="4" xfId="1" applyNumberFormat="1" applyFont="1" applyFill="1" applyBorder="1" applyAlignment="1" applyProtection="1">
      <alignment horizontal="left" vertical="center" wrapText="1" indent="1"/>
      <protection locked="0"/>
    </xf>
    <xf numFmtId="165" fontId="12" fillId="0" borderId="4" xfId="1" applyNumberFormat="1" applyFont="1" applyFill="1" applyBorder="1" applyAlignment="1" applyProtection="1">
      <alignment horizontal="center" wrapText="1"/>
      <protection locked="0"/>
    </xf>
    <xf numFmtId="0" fontId="12" fillId="0" borderId="4" xfId="0" applyFont="1" applyBorder="1" applyAlignment="1" applyProtection="1">
      <alignment horizontal="center" wrapText="1"/>
      <protection locked="0"/>
    </xf>
    <xf numFmtId="165" fontId="12" fillId="0" borderId="4" xfId="0" applyNumberFormat="1" applyFont="1" applyBorder="1" applyAlignment="1" applyProtection="1">
      <alignment horizontal="center" wrapText="1"/>
    </xf>
    <xf numFmtId="0" fontId="12" fillId="0" borderId="14" xfId="0" applyFont="1" applyBorder="1" applyAlignment="1" applyProtection="1">
      <alignment horizontal="center" wrapText="1"/>
      <protection locked="0"/>
    </xf>
    <xf numFmtId="165" fontId="12" fillId="0" borderId="14" xfId="1" applyNumberFormat="1" applyFont="1" applyFill="1" applyBorder="1" applyAlignment="1" applyProtection="1">
      <alignment horizontal="center" wrapText="1"/>
      <protection locked="0"/>
    </xf>
    <xf numFmtId="165" fontId="12" fillId="0" borderId="14" xfId="0" applyNumberFormat="1" applyFont="1" applyBorder="1" applyAlignment="1" applyProtection="1">
      <alignment horizontal="center" wrapText="1"/>
    </xf>
    <xf numFmtId="0" fontId="13" fillId="0" borderId="1" xfId="0" applyFont="1" applyBorder="1" applyAlignment="1" applyProtection="1">
      <alignment vertical="top" wrapText="1"/>
      <protection locked="0"/>
    </xf>
    <xf numFmtId="165" fontId="12" fillId="0" borderId="35" xfId="1" applyNumberFormat="1" applyFont="1" applyFill="1" applyBorder="1" applyAlignment="1" applyProtection="1">
      <alignment horizontal="center" wrapText="1"/>
      <protection locked="0"/>
    </xf>
    <xf numFmtId="0" fontId="12" fillId="0" borderId="35" xfId="0" applyFont="1" applyBorder="1" applyAlignment="1" applyProtection="1">
      <alignment horizontal="center" wrapText="1"/>
      <protection locked="0"/>
    </xf>
    <xf numFmtId="165" fontId="12" fillId="0" borderId="35" xfId="0" applyNumberFormat="1" applyFont="1" applyBorder="1" applyAlignment="1" applyProtection="1">
      <alignment horizontal="center" wrapText="1"/>
    </xf>
    <xf numFmtId="165" fontId="12" fillId="0" borderId="15" xfId="1" applyNumberFormat="1" applyFont="1" applyFill="1" applyBorder="1" applyAlignment="1" applyProtection="1">
      <alignment horizontal="center" wrapText="1"/>
      <protection locked="0"/>
    </xf>
    <xf numFmtId="0" fontId="12" fillId="0" borderId="15" xfId="0" applyFont="1" applyBorder="1" applyAlignment="1" applyProtection="1">
      <alignment horizontal="center" wrapText="1"/>
      <protection locked="0"/>
    </xf>
    <xf numFmtId="165" fontId="12" fillId="0" borderId="15" xfId="0" applyNumberFormat="1" applyFont="1" applyBorder="1" applyAlignment="1" applyProtection="1">
      <alignment horizontal="center" wrapText="1"/>
    </xf>
    <xf numFmtId="0" fontId="12" fillId="0" borderId="7" xfId="0" applyFont="1" applyBorder="1" applyAlignment="1" applyProtection="1">
      <alignment wrapText="1"/>
      <protection locked="0"/>
    </xf>
    <xf numFmtId="0" fontId="12" fillId="0" borderId="7" xfId="0" applyFont="1" applyBorder="1" applyAlignment="1" applyProtection="1">
      <alignment horizontal="center" wrapText="1"/>
      <protection locked="0"/>
    </xf>
    <xf numFmtId="0" fontId="12" fillId="0" borderId="6" xfId="1" applyNumberFormat="1" applyFont="1" applyFill="1" applyBorder="1" applyAlignment="1" applyProtection="1">
      <alignment horizontal="left" vertical="center" wrapText="1" indent="1"/>
      <protection locked="0"/>
    </xf>
    <xf numFmtId="0" fontId="12" fillId="0" borderId="6" xfId="1" applyNumberFormat="1" applyFont="1" applyFill="1" applyBorder="1" applyAlignment="1" applyProtection="1">
      <alignment horizontal="center" wrapText="1"/>
      <protection locked="0"/>
    </xf>
    <xf numFmtId="165" fontId="12" fillId="0" borderId="6" xfId="1" applyNumberFormat="1" applyFont="1" applyFill="1" applyBorder="1" applyAlignment="1" applyProtection="1">
      <alignment horizontal="center" wrapText="1"/>
      <protection locked="0"/>
    </xf>
    <xf numFmtId="0" fontId="12" fillId="0" borderId="6" xfId="0" applyFont="1" applyBorder="1" applyAlignment="1" applyProtection="1">
      <alignment horizontal="center" wrapText="1"/>
      <protection locked="0"/>
    </xf>
    <xf numFmtId="165" fontId="12" fillId="0" borderId="6" xfId="0" applyNumberFormat="1" applyFont="1" applyBorder="1" applyAlignment="1" applyProtection="1">
      <alignment horizontal="center" wrapText="1"/>
    </xf>
    <xf numFmtId="0" fontId="12" fillId="0" borderId="30" xfId="0" applyFont="1" applyBorder="1" applyAlignment="1" applyProtection="1">
      <alignment wrapText="1"/>
      <protection locked="0"/>
    </xf>
    <xf numFmtId="165" fontId="12" fillId="0" borderId="30" xfId="1" applyNumberFormat="1" applyFont="1" applyFill="1" applyBorder="1" applyAlignment="1" applyProtection="1">
      <alignment horizontal="center" wrapText="1"/>
      <protection locked="0"/>
    </xf>
    <xf numFmtId="0" fontId="12" fillId="0" borderId="30" xfId="0" applyFont="1" applyBorder="1" applyAlignment="1" applyProtection="1">
      <alignment horizontal="center" wrapText="1"/>
      <protection locked="0"/>
    </xf>
    <xf numFmtId="165" fontId="12" fillId="0" borderId="30" xfId="0" applyNumberFormat="1" applyFont="1" applyBorder="1" applyAlignment="1" applyProtection="1">
      <alignment horizontal="center" wrapText="1"/>
    </xf>
    <xf numFmtId="0" fontId="13" fillId="6" borderId="44" xfId="1" applyNumberFormat="1" applyFont="1" applyFill="1" applyBorder="1" applyAlignment="1" applyProtection="1">
      <alignment horizontal="center" vertical="center" wrapText="1"/>
      <protection locked="0"/>
    </xf>
    <xf numFmtId="164" fontId="13" fillId="6" borderId="44" xfId="1" applyNumberFormat="1" applyFont="1" applyFill="1" applyBorder="1" applyAlignment="1" applyProtection="1">
      <alignment horizontal="center" vertical="center" wrapText="1"/>
      <protection locked="0"/>
    </xf>
    <xf numFmtId="0" fontId="13" fillId="6" borderId="44" xfId="0" applyFont="1" applyFill="1" applyBorder="1" applyAlignment="1" applyProtection="1">
      <alignment horizontal="center" vertical="center" wrapText="1"/>
      <protection locked="0"/>
    </xf>
    <xf numFmtId="165" fontId="13" fillId="6" borderId="44" xfId="0" applyNumberFormat="1" applyFont="1" applyFill="1" applyBorder="1" applyAlignment="1" applyProtection="1">
      <alignment horizontal="center" vertical="center" wrapText="1"/>
    </xf>
    <xf numFmtId="0" fontId="12" fillId="0" borderId="8" xfId="0" applyFont="1" applyBorder="1" applyAlignment="1" applyProtection="1">
      <alignment wrapText="1"/>
      <protection locked="0"/>
    </xf>
    <xf numFmtId="0" fontId="12" fillId="0" borderId="1" xfId="0" applyFont="1" applyBorder="1" applyAlignment="1" applyProtection="1">
      <alignment horizontal="center" vertical="center" wrapText="1"/>
      <protection locked="0"/>
    </xf>
    <xf numFmtId="165" fontId="12" fillId="0" borderId="1" xfId="0" applyNumberFormat="1" applyFont="1" applyBorder="1" applyAlignment="1" applyProtection="1">
      <alignment horizontal="center" vertical="center" wrapText="1"/>
    </xf>
    <xf numFmtId="0" fontId="16" fillId="0" borderId="0" xfId="0" applyFont="1" applyProtection="1">
      <protection locked="0"/>
    </xf>
    <xf numFmtId="0" fontId="12" fillId="0" borderId="4" xfId="0" applyFont="1" applyBorder="1" applyAlignment="1" applyProtection="1">
      <alignment horizontal="center" vertical="center" wrapText="1"/>
      <protection locked="0"/>
    </xf>
    <xf numFmtId="165" fontId="12" fillId="0" borderId="4" xfId="0" applyNumberFormat="1" applyFont="1" applyBorder="1" applyAlignment="1" applyProtection="1">
      <alignment horizontal="center" vertical="center" wrapText="1"/>
    </xf>
    <xf numFmtId="0" fontId="12" fillId="0" borderId="5" xfId="0" applyFont="1" applyBorder="1" applyAlignment="1" applyProtection="1">
      <alignment wrapText="1"/>
      <protection locked="0"/>
    </xf>
    <xf numFmtId="0" fontId="12" fillId="0" borderId="6" xfId="0" applyFont="1" applyBorder="1" applyAlignment="1" applyProtection="1">
      <alignment wrapText="1"/>
      <protection locked="0"/>
    </xf>
    <xf numFmtId="0" fontId="12" fillId="0" borderId="5" xfId="1" applyNumberFormat="1" applyFont="1" applyFill="1" applyBorder="1" applyAlignment="1" applyProtection="1">
      <alignment horizontal="left" vertical="center" wrapText="1" indent="1"/>
      <protection locked="0"/>
    </xf>
    <xf numFmtId="0" fontId="12" fillId="0" borderId="5" xfId="0" applyFont="1" applyBorder="1" applyAlignment="1" applyProtection="1">
      <alignment horizontal="center" vertical="center" wrapText="1"/>
      <protection locked="0"/>
    </xf>
    <xf numFmtId="165" fontId="12" fillId="0" borderId="5" xfId="0" applyNumberFormat="1" applyFont="1" applyBorder="1" applyAlignment="1" applyProtection="1">
      <alignment horizontal="center" vertical="center" wrapText="1"/>
    </xf>
    <xf numFmtId="0" fontId="12" fillId="0" borderId="4" xfId="0" applyFont="1" applyBorder="1" applyAlignment="1" applyProtection="1">
      <alignment horizontal="left" vertical="center" wrapText="1" indent="1"/>
      <protection locked="0"/>
    </xf>
    <xf numFmtId="0" fontId="12" fillId="0" borderId="6" xfId="0" applyFont="1" applyBorder="1" applyAlignment="1" applyProtection="1">
      <alignment vertical="center" wrapText="1"/>
      <protection locked="0"/>
    </xf>
    <xf numFmtId="0" fontId="12" fillId="0" borderId="1" xfId="0" applyFont="1" applyBorder="1" applyAlignment="1" applyProtection="1">
      <alignment vertical="center" wrapText="1"/>
      <protection locked="0"/>
    </xf>
    <xf numFmtId="0" fontId="12" fillId="0" borderId="7" xfId="0" applyFont="1" applyBorder="1" applyAlignment="1" applyProtection="1">
      <alignment horizontal="left" wrapText="1" indent="1"/>
      <protection locked="0"/>
    </xf>
    <xf numFmtId="164" fontId="12" fillId="0" borderId="7" xfId="0" applyNumberFormat="1" applyFont="1" applyBorder="1" applyAlignment="1" applyProtection="1">
      <alignment horizontal="right" wrapText="1" indent="1"/>
      <protection locked="0"/>
    </xf>
    <xf numFmtId="0" fontId="13" fillId="11" borderId="30" xfId="0" applyFont="1" applyFill="1" applyBorder="1" applyAlignment="1" applyProtection="1">
      <alignment horizontal="left" wrapText="1" indent="1"/>
      <protection locked="0"/>
    </xf>
    <xf numFmtId="0" fontId="12" fillId="11" borderId="0" xfId="0" applyFont="1" applyFill="1" applyBorder="1" applyAlignment="1" applyProtection="1">
      <alignment wrapText="1"/>
      <protection locked="0"/>
    </xf>
    <xf numFmtId="0" fontId="17" fillId="11" borderId="43" xfId="0" applyFont="1" applyFill="1" applyBorder="1" applyAlignment="1" applyProtection="1">
      <alignment horizontal="left" vertical="center"/>
      <protection locked="0"/>
    </xf>
    <xf numFmtId="164" fontId="13" fillId="11" borderId="30" xfId="0" applyNumberFormat="1" applyFont="1" applyFill="1" applyBorder="1" applyAlignment="1" applyProtection="1">
      <alignment horizontal="right" wrapText="1" indent="1"/>
      <protection locked="0"/>
    </xf>
    <xf numFmtId="0" fontId="13" fillId="11" borderId="31" xfId="0" applyFont="1" applyFill="1" applyBorder="1" applyAlignment="1" applyProtection="1">
      <alignment wrapText="1"/>
      <protection locked="0"/>
    </xf>
    <xf numFmtId="165" fontId="13" fillId="11" borderId="32" xfId="0" applyNumberFormat="1" applyFont="1" applyFill="1" applyBorder="1" applyAlignment="1" applyProtection="1">
      <alignment horizontal="center" vertical="center" wrapText="1"/>
    </xf>
    <xf numFmtId="0" fontId="12" fillId="0" borderId="0" xfId="0" applyFont="1" applyProtection="1">
      <protection locked="0"/>
    </xf>
    <xf numFmtId="0" fontId="12" fillId="0" borderId="33" xfId="0" applyFont="1" applyBorder="1" applyAlignment="1" applyProtection="1">
      <alignment wrapText="1"/>
      <protection locked="0"/>
    </xf>
    <xf numFmtId="164" fontId="12" fillId="0" borderId="6" xfId="0" applyNumberFormat="1" applyFont="1" applyBorder="1" applyAlignment="1" applyProtection="1">
      <alignment horizontal="right" wrapText="1" indent="1"/>
      <protection locked="0"/>
    </xf>
    <xf numFmtId="0" fontId="12" fillId="0" borderId="17" xfId="0" applyFont="1" applyBorder="1" applyAlignment="1" applyProtection="1">
      <alignment wrapText="1"/>
      <protection locked="0"/>
    </xf>
    <xf numFmtId="0" fontId="18" fillId="0" borderId="4" xfId="0" applyFont="1" applyBorder="1" applyAlignment="1" applyProtection="1">
      <protection locked="0"/>
    </xf>
    <xf numFmtId="0" fontId="12" fillId="0" borderId="2" xfId="0" applyFont="1" applyBorder="1" applyAlignment="1" applyProtection="1">
      <alignment wrapText="1"/>
      <protection locked="0"/>
    </xf>
    <xf numFmtId="0" fontId="13" fillId="7" borderId="32" xfId="1" applyNumberFormat="1" applyFont="1" applyFill="1" applyBorder="1" applyAlignment="1" applyProtection="1">
      <alignment horizontal="center" vertical="center" wrapText="1"/>
      <protection locked="0"/>
    </xf>
    <xf numFmtId="164" fontId="12" fillId="3" borderId="35" xfId="0" applyNumberFormat="1" applyFont="1" applyFill="1" applyBorder="1" applyAlignment="1" applyProtection="1">
      <alignment horizontal="right" wrapText="1" indent="1"/>
      <protection locked="0"/>
    </xf>
    <xf numFmtId="0" fontId="12" fillId="3" borderId="35" xfId="0" applyFont="1" applyFill="1" applyBorder="1" applyAlignment="1" applyProtection="1">
      <alignment wrapText="1"/>
      <protection locked="0"/>
    </xf>
    <xf numFmtId="0" fontId="12" fillId="3" borderId="36" xfId="0" applyFont="1" applyFill="1" applyBorder="1" applyAlignment="1" applyProtection="1">
      <alignment wrapText="1"/>
      <protection locked="0"/>
    </xf>
    <xf numFmtId="0" fontId="12" fillId="3" borderId="38" xfId="0" applyFont="1" applyFill="1" applyBorder="1" applyAlignment="1" applyProtection="1">
      <alignment wrapText="1"/>
      <protection locked="0"/>
    </xf>
    <xf numFmtId="165" fontId="12" fillId="3" borderId="1" xfId="1" applyNumberFormat="1" applyFont="1" applyFill="1" applyBorder="1" applyAlignment="1" applyProtection="1">
      <alignment horizontal="center" vertical="center" wrapText="1"/>
      <protection locked="0"/>
    </xf>
    <xf numFmtId="0" fontId="12" fillId="3" borderId="6" xfId="0" applyFont="1" applyFill="1" applyBorder="1" applyAlignment="1" applyProtection="1">
      <alignment horizontal="center" vertical="center" wrapText="1"/>
    </xf>
    <xf numFmtId="165" fontId="12" fillId="3" borderId="37" xfId="0" applyNumberFormat="1" applyFont="1" applyFill="1" applyBorder="1" applyAlignment="1" applyProtection="1">
      <alignment horizontal="center" vertical="center" wrapText="1"/>
    </xf>
    <xf numFmtId="0" fontId="12" fillId="3" borderId="39" xfId="0" applyFont="1" applyFill="1" applyBorder="1" applyAlignment="1" applyProtection="1">
      <alignment wrapText="1"/>
      <protection locked="0"/>
    </xf>
    <xf numFmtId="165" fontId="12" fillId="3" borderId="40" xfId="1" applyNumberFormat="1" applyFont="1" applyFill="1" applyBorder="1" applyAlignment="1" applyProtection="1">
      <alignment horizontal="center" vertical="center" wrapText="1"/>
      <protection locked="0"/>
    </xf>
    <xf numFmtId="0" fontId="12" fillId="3" borderId="40" xfId="0" applyFont="1" applyFill="1" applyBorder="1" applyAlignment="1" applyProtection="1">
      <alignment horizontal="center" vertical="center" wrapText="1"/>
    </xf>
    <xf numFmtId="165" fontId="12" fillId="3" borderId="41" xfId="0" applyNumberFormat="1" applyFont="1" applyFill="1" applyBorder="1" applyAlignment="1" applyProtection="1">
      <alignment horizontal="center" vertical="center" wrapText="1"/>
    </xf>
    <xf numFmtId="0" fontId="12" fillId="0" borderId="7" xfId="1" applyNumberFormat="1" applyFont="1" applyFill="1" applyBorder="1" applyAlignment="1" applyProtection="1">
      <alignment horizontal="left" vertical="center" wrapText="1"/>
      <protection locked="0"/>
    </xf>
    <xf numFmtId="165" fontId="12" fillId="0" borderId="7" xfId="1" applyNumberFormat="1" applyFont="1" applyFill="1" applyBorder="1" applyAlignment="1" applyProtection="1">
      <alignment horizontal="center" vertical="center" wrapText="1"/>
      <protection locked="0"/>
    </xf>
    <xf numFmtId="0" fontId="12" fillId="0" borderId="7" xfId="0" applyFont="1" applyBorder="1" applyAlignment="1" applyProtection="1">
      <alignment horizontal="center" vertical="center" wrapText="1"/>
      <protection locked="0"/>
    </xf>
    <xf numFmtId="165" fontId="12" fillId="0" borderId="7" xfId="0" applyNumberFormat="1" applyFont="1" applyBorder="1" applyAlignment="1" applyProtection="1">
      <alignment horizontal="center" vertical="center" wrapText="1"/>
      <protection locked="0"/>
    </xf>
    <xf numFmtId="165" fontId="12" fillId="0" borderId="34" xfId="0" applyNumberFormat="1" applyFont="1" applyBorder="1" applyAlignment="1" applyProtection="1">
      <alignment horizontal="center" vertical="center" wrapText="1"/>
      <protection locked="0"/>
    </xf>
    <xf numFmtId="165" fontId="12" fillId="3" borderId="35" xfId="1" applyNumberFormat="1" applyFont="1" applyFill="1" applyBorder="1" applyAlignment="1" applyProtection="1">
      <alignment horizontal="center" vertical="center" wrapText="1"/>
      <protection locked="0"/>
    </xf>
    <xf numFmtId="0" fontId="12" fillId="3" borderId="35" xfId="0" applyFont="1" applyFill="1" applyBorder="1" applyAlignment="1" applyProtection="1">
      <alignment horizontal="center" vertical="center" wrapText="1"/>
      <protection locked="0"/>
    </xf>
    <xf numFmtId="165" fontId="12" fillId="3" borderId="36" xfId="0" applyNumberFormat="1" applyFont="1" applyFill="1" applyBorder="1" applyAlignment="1" applyProtection="1">
      <alignment horizontal="center" vertical="center" wrapText="1"/>
    </xf>
    <xf numFmtId="0" fontId="20" fillId="0" borderId="8" xfId="0" applyFont="1" applyBorder="1" applyAlignment="1" applyProtection="1">
      <alignment horizontal="center" vertical="center" wrapText="1"/>
    </xf>
    <xf numFmtId="0" fontId="12" fillId="3" borderId="6" xfId="0" applyFont="1" applyFill="1" applyBorder="1" applyAlignment="1" applyProtection="1">
      <alignment horizontal="center" vertical="center" wrapText="1"/>
      <protection locked="0"/>
    </xf>
    <xf numFmtId="0" fontId="20" fillId="0" borderId="8" xfId="0" applyFont="1" applyBorder="1" applyAlignment="1" applyProtection="1">
      <alignment horizontal="left" vertical="center"/>
    </xf>
    <xf numFmtId="0" fontId="12" fillId="11" borderId="30" xfId="0" applyFont="1" applyFill="1" applyBorder="1" applyAlignment="1" applyProtection="1">
      <alignment horizontal="left" wrapText="1" indent="1"/>
      <protection locked="0"/>
    </xf>
    <xf numFmtId="164" fontId="12" fillId="11" borderId="30" xfId="0" applyNumberFormat="1" applyFont="1" applyFill="1" applyBorder="1" applyAlignment="1" applyProtection="1">
      <alignment horizontal="right" wrapText="1" indent="1"/>
      <protection locked="0"/>
    </xf>
    <xf numFmtId="0" fontId="12" fillId="11" borderId="31" xfId="0" applyFont="1" applyFill="1" applyBorder="1" applyAlignment="1" applyProtection="1">
      <alignment wrapText="1"/>
      <protection locked="0"/>
    </xf>
    <xf numFmtId="0" fontId="12" fillId="0" borderId="1" xfId="0" applyFont="1" applyBorder="1" applyAlignment="1" applyProtection="1">
      <alignment horizontal="left" wrapText="1" indent="1"/>
      <protection locked="0"/>
    </xf>
    <xf numFmtId="0" fontId="13" fillId="0" borderId="6" xfId="0" applyFont="1" applyBorder="1" applyAlignment="1" applyProtection="1">
      <alignment horizontal="center" wrapText="1"/>
      <protection locked="0"/>
    </xf>
    <xf numFmtId="49" fontId="12" fillId="0" borderId="6" xfId="1" applyNumberFormat="1" applyFont="1" applyFill="1" applyBorder="1" applyAlignment="1" applyProtection="1">
      <alignment horizontal="center" wrapText="1"/>
      <protection locked="0"/>
    </xf>
    <xf numFmtId="0" fontId="12" fillId="0" borderId="6" xfId="1" applyNumberFormat="1" applyFont="1" applyFill="1" applyBorder="1" applyAlignment="1" applyProtection="1">
      <alignment horizontal="left" wrapText="1"/>
      <protection locked="0"/>
    </xf>
    <xf numFmtId="164" fontId="12" fillId="0" borderId="1" xfId="0" applyNumberFormat="1" applyFont="1" applyBorder="1" applyAlignment="1" applyProtection="1">
      <alignment horizontal="right" wrapText="1" indent="1"/>
      <protection locked="0"/>
    </xf>
    <xf numFmtId="0" fontId="10" fillId="3" borderId="6" xfId="0" applyFont="1" applyFill="1" applyBorder="1" applyAlignment="1" applyProtection="1">
      <alignment vertical="center"/>
      <protection locked="0"/>
    </xf>
    <xf numFmtId="0" fontId="11" fillId="3" borderId="6" xfId="0" applyFont="1" applyFill="1" applyBorder="1" applyAlignment="1" applyProtection="1">
      <alignment horizontal="left" vertical="center" wrapText="1"/>
      <protection locked="0"/>
    </xf>
    <xf numFmtId="0" fontId="11" fillId="3" borderId="7" xfId="0" applyFont="1" applyFill="1" applyBorder="1" applyAlignment="1" applyProtection="1">
      <alignment horizontal="left" vertical="center" wrapText="1"/>
      <protection locked="0"/>
    </xf>
    <xf numFmtId="0" fontId="11" fillId="3" borderId="7" xfId="0" applyFont="1" applyFill="1" applyBorder="1" applyAlignment="1" applyProtection="1">
      <alignment horizontal="left" vertical="center" wrapText="1" indent="1"/>
      <protection locked="0"/>
    </xf>
    <xf numFmtId="164" fontId="11" fillId="3" borderId="7" xfId="0" applyNumberFormat="1" applyFont="1" applyFill="1" applyBorder="1" applyAlignment="1" applyProtection="1">
      <alignment horizontal="right" vertical="center" wrapText="1" indent="1"/>
      <protection locked="0"/>
    </xf>
    <xf numFmtId="49" fontId="12" fillId="0" borderId="49" xfId="1" applyNumberFormat="1" applyFont="1" applyFill="1" applyBorder="1" applyAlignment="1" applyProtection="1">
      <alignment horizontal="left" vertical="center" wrapText="1" indent="1"/>
    </xf>
    <xf numFmtId="49" fontId="12" fillId="0" borderId="6" xfId="1" applyNumberFormat="1" applyFont="1" applyFill="1" applyBorder="1" applyAlignment="1" applyProtection="1">
      <alignment horizontal="left" vertical="center" wrapText="1" indent="1"/>
    </xf>
    <xf numFmtId="0" fontId="12" fillId="0" borderId="6" xfId="1" applyNumberFormat="1" applyFont="1" applyFill="1" applyBorder="1" applyAlignment="1" applyProtection="1">
      <alignment horizontal="left" vertical="center" wrapText="1" indent="1"/>
    </xf>
    <xf numFmtId="0" fontId="12" fillId="0" borderId="6" xfId="0" applyFont="1" applyBorder="1" applyAlignment="1" applyProtection="1">
      <alignment horizontal="center" wrapText="1"/>
    </xf>
    <xf numFmtId="165" fontId="12" fillId="0" borderId="50" xfId="0" applyNumberFormat="1" applyFont="1" applyBorder="1" applyAlignment="1" applyProtection="1">
      <alignment horizontal="center" wrapText="1"/>
    </xf>
    <xf numFmtId="49" fontId="12" fillId="0" borderId="45" xfId="1" applyNumberFormat="1" applyFont="1" applyFill="1" applyBorder="1" applyAlignment="1" applyProtection="1">
      <alignment horizontal="left" vertical="center" wrapText="1" indent="1"/>
    </xf>
    <xf numFmtId="49" fontId="12" fillId="0" borderId="1" xfId="1" applyNumberFormat="1" applyFont="1" applyFill="1" applyBorder="1" applyAlignment="1" applyProtection="1">
      <alignment horizontal="left" vertical="center" wrapText="1" indent="1"/>
    </xf>
    <xf numFmtId="0" fontId="12" fillId="0" borderId="1" xfId="1" applyNumberFormat="1" applyFont="1" applyFill="1" applyBorder="1" applyAlignment="1" applyProtection="1">
      <alignment horizontal="left" vertical="center" wrapText="1" indent="1"/>
    </xf>
    <xf numFmtId="0" fontId="12" fillId="0" borderId="1" xfId="0" applyFont="1" applyBorder="1" applyAlignment="1" applyProtection="1">
      <alignment horizontal="center" wrapText="1"/>
    </xf>
    <xf numFmtId="165" fontId="12" fillId="0" borderId="46" xfId="0" applyNumberFormat="1" applyFont="1" applyBorder="1" applyAlignment="1" applyProtection="1">
      <alignment horizontal="center" wrapText="1"/>
    </xf>
    <xf numFmtId="49" fontId="12" fillId="0" borderId="47" xfId="1" applyNumberFormat="1" applyFont="1" applyFill="1" applyBorder="1" applyAlignment="1" applyProtection="1">
      <alignment horizontal="left" vertical="center" wrapText="1" indent="1"/>
    </xf>
    <xf numFmtId="49" fontId="12" fillId="0" borderId="4" xfId="1" applyNumberFormat="1" applyFont="1" applyFill="1" applyBorder="1" applyAlignment="1" applyProtection="1">
      <alignment horizontal="left" vertical="center" wrapText="1" indent="1"/>
    </xf>
    <xf numFmtId="165" fontId="12" fillId="0" borderId="48" xfId="0" applyNumberFormat="1" applyFont="1" applyBorder="1" applyAlignment="1" applyProtection="1">
      <alignment horizontal="center" wrapText="1"/>
    </xf>
    <xf numFmtId="49" fontId="12" fillId="0" borderId="6" xfId="1" applyNumberFormat="1" applyFont="1" applyFill="1" applyBorder="1" applyAlignment="1" applyProtection="1">
      <alignment horizontal="left" vertical="center" wrapText="1" indent="1"/>
      <protection locked="0"/>
    </xf>
    <xf numFmtId="49" fontId="12" fillId="0" borderId="2" xfId="1" applyNumberFormat="1" applyFont="1" applyFill="1" applyBorder="1" applyAlignment="1" applyProtection="1">
      <alignment horizontal="left" vertical="center" wrapText="1" indent="1"/>
      <protection locked="0"/>
    </xf>
    <xf numFmtId="49" fontId="12" fillId="0" borderId="51" xfId="1" applyNumberFormat="1" applyFont="1" applyFill="1" applyBorder="1" applyAlignment="1" applyProtection="1">
      <alignment horizontal="left" vertical="center" wrapText="1" indent="1"/>
    </xf>
    <xf numFmtId="0" fontId="12" fillId="0" borderId="4" xfId="1" applyNumberFormat="1" applyFont="1" applyFill="1" applyBorder="1" applyAlignment="1" applyProtection="1">
      <alignment horizontal="left" vertical="center" wrapText="1" indent="1"/>
    </xf>
    <xf numFmtId="0" fontId="12" fillId="0" borderId="4" xfId="0" applyFont="1" applyBorder="1" applyAlignment="1" applyProtection="1">
      <alignment horizontal="left" vertical="center" wrapText="1" indent="1"/>
    </xf>
    <xf numFmtId="0" fontId="12" fillId="0" borderId="7" xfId="0" applyFont="1" applyBorder="1" applyAlignment="1" applyProtection="1">
      <alignment horizontal="center" vertical="center" wrapText="1"/>
    </xf>
    <xf numFmtId="0" fontId="20" fillId="0" borderId="8" xfId="0" applyFont="1" applyBorder="1" applyAlignment="1" applyProtection="1">
      <alignment horizontal="center" vertical="center" wrapText="1"/>
      <protection locked="0"/>
    </xf>
    <xf numFmtId="0" fontId="21" fillId="0" borderId="8" xfId="0" applyFont="1" applyBorder="1" applyAlignment="1" applyProtection="1">
      <alignment horizontal="center" vertical="center" wrapText="1"/>
      <protection locked="0"/>
    </xf>
    <xf numFmtId="164" fontId="12" fillId="0" borderId="1" xfId="1" applyNumberFormat="1" applyFont="1" applyFill="1" applyBorder="1" applyAlignment="1" applyProtection="1">
      <alignment horizontal="right" vertical="center" wrapText="1" indent="1"/>
      <protection locked="0"/>
    </xf>
    <xf numFmtId="165" fontId="12" fillId="0" borderId="1" xfId="0" applyNumberFormat="1" applyFont="1" applyBorder="1" applyAlignment="1" applyProtection="1">
      <alignment horizontal="center" vertical="center" wrapText="1"/>
      <protection locked="0"/>
    </xf>
    <xf numFmtId="0" fontId="12" fillId="0" borderId="4" xfId="0" applyFont="1" applyBorder="1" applyAlignment="1" applyProtection="1">
      <alignment vertical="center" wrapText="1"/>
      <protection locked="0"/>
    </xf>
    <xf numFmtId="164" fontId="12" fillId="0" borderId="73" xfId="1" applyNumberFormat="1" applyFont="1" applyFill="1" applyBorder="1" applyAlignment="1" applyProtection="1">
      <alignment horizontal="right" vertical="center" wrapText="1" indent="1"/>
      <protection locked="0"/>
    </xf>
    <xf numFmtId="0" fontId="12" fillId="0" borderId="2" xfId="0" applyFont="1" applyBorder="1" applyAlignment="1" applyProtection="1">
      <alignment horizontal="center" vertical="center" wrapText="1"/>
      <protection locked="0"/>
    </xf>
    <xf numFmtId="3" fontId="12" fillId="0" borderId="10" xfId="1" applyNumberFormat="1" applyFont="1" applyFill="1" applyBorder="1" applyAlignment="1" applyProtection="1">
      <alignment horizontal="center" vertical="center" wrapText="1"/>
      <protection locked="0"/>
    </xf>
    <xf numFmtId="0" fontId="12" fillId="0" borderId="8" xfId="0" applyFont="1" applyBorder="1" applyAlignment="1" applyProtection="1">
      <alignment horizontal="center" vertical="center" wrapText="1"/>
      <protection locked="0"/>
    </xf>
    <xf numFmtId="165" fontId="12" fillId="0" borderId="6" xfId="0" applyNumberFormat="1" applyFont="1" applyBorder="1" applyAlignment="1" applyProtection="1">
      <alignment horizontal="center" vertical="center" wrapText="1"/>
      <protection locked="0"/>
    </xf>
    <xf numFmtId="165" fontId="20" fillId="0" borderId="1" xfId="0" applyNumberFormat="1" applyFont="1" applyBorder="1" applyAlignment="1" applyProtection="1">
      <alignment horizontal="center" vertical="center"/>
    </xf>
    <xf numFmtId="3" fontId="12" fillId="0" borderId="9" xfId="1" applyNumberFormat="1" applyFont="1" applyFill="1" applyBorder="1" applyAlignment="1" applyProtection="1">
      <alignment horizontal="center" vertical="center" wrapText="1"/>
      <protection locked="0"/>
    </xf>
    <xf numFmtId="3" fontId="12" fillId="0" borderId="11" xfId="1" applyNumberFormat="1" applyFont="1" applyFill="1" applyBorder="1" applyAlignment="1" applyProtection="1">
      <alignment horizontal="center" vertical="center" wrapText="1"/>
      <protection locked="0"/>
    </xf>
    <xf numFmtId="164" fontId="12" fillId="0" borderId="7" xfId="1" applyNumberFormat="1" applyFont="1" applyFill="1" applyBorder="1" applyAlignment="1" applyProtection="1">
      <alignment horizontal="right" vertical="center" wrapText="1" indent="1"/>
      <protection locked="0"/>
    </xf>
    <xf numFmtId="164" fontId="12" fillId="0" borderId="6" xfId="1" applyNumberFormat="1" applyFont="1" applyFill="1" applyBorder="1" applyAlignment="1" applyProtection="1">
      <alignment horizontal="right" vertical="center" wrapText="1" indent="1"/>
      <protection locked="0"/>
    </xf>
    <xf numFmtId="165" fontId="20" fillId="0" borderId="1" xfId="0" applyNumberFormat="1" applyFont="1" applyBorder="1" applyAlignment="1" applyProtection="1">
      <alignment horizontal="left" vertical="center"/>
    </xf>
    <xf numFmtId="0" fontId="22" fillId="0" borderId="9" xfId="1" applyNumberFormat="1" applyFont="1" applyFill="1" applyBorder="1" applyAlignment="1" applyProtection="1">
      <alignment horizontal="center" vertical="center" wrapText="1"/>
      <protection locked="0"/>
    </xf>
    <xf numFmtId="165" fontId="20" fillId="0" borderId="1" xfId="0" applyNumberFormat="1" applyFont="1" applyFill="1" applyBorder="1" applyAlignment="1" applyProtection="1">
      <alignment horizontal="left" vertical="center"/>
    </xf>
    <xf numFmtId="0" fontId="24" fillId="0" borderId="1" xfId="2" applyFont="1" applyBorder="1" applyAlignment="1" applyProtection="1">
      <alignment vertical="center" wrapText="1"/>
      <protection locked="0"/>
    </xf>
    <xf numFmtId="3" fontId="12" fillId="0" borderId="4" xfId="1" applyNumberFormat="1" applyFont="1" applyFill="1" applyBorder="1" applyAlignment="1" applyProtection="1">
      <alignment horizontal="right" vertical="center" wrapText="1" indent="1"/>
      <protection locked="0"/>
    </xf>
    <xf numFmtId="0" fontId="13" fillId="0" borderId="0" xfId="0" applyNumberFormat="1" applyFont="1" applyBorder="1" applyAlignment="1" applyProtection="1">
      <alignment horizontal="center" vertical="center" wrapText="1"/>
      <protection locked="0"/>
    </xf>
    <xf numFmtId="3" fontId="12" fillId="0" borderId="6" xfId="1" applyNumberFormat="1" applyFont="1" applyFill="1" applyBorder="1" applyAlignment="1" applyProtection="1">
      <alignment horizontal="right" vertical="center" wrapText="1" indent="1"/>
      <protection locked="0"/>
    </xf>
    <xf numFmtId="165" fontId="23" fillId="6" borderId="71" xfId="1" applyNumberFormat="1" applyFont="1" applyFill="1" applyBorder="1" applyAlignment="1" applyProtection="1">
      <alignment horizontal="center" vertical="center" wrapText="1"/>
    </xf>
    <xf numFmtId="0" fontId="12" fillId="0" borderId="8" xfId="0" applyFont="1" applyBorder="1" applyAlignment="1" applyProtection="1">
      <alignment vertical="center" wrapText="1"/>
      <protection locked="0"/>
    </xf>
    <xf numFmtId="165" fontId="23" fillId="6" borderId="62" xfId="1" applyNumberFormat="1" applyFont="1" applyFill="1" applyBorder="1" applyAlignment="1" applyProtection="1">
      <alignment horizontal="center" vertical="center" wrapText="1"/>
    </xf>
    <xf numFmtId="165" fontId="23" fillId="6" borderId="64" xfId="1" applyNumberFormat="1" applyFont="1" applyFill="1" applyBorder="1" applyAlignment="1" applyProtection="1">
      <alignment horizontal="center" vertical="center" wrapText="1"/>
    </xf>
    <xf numFmtId="165" fontId="18" fillId="11" borderId="67" xfId="1" applyNumberFormat="1" applyFont="1" applyFill="1" applyBorder="1" applyAlignment="1" applyProtection="1">
      <alignment horizontal="center" vertical="center" wrapText="1"/>
    </xf>
    <xf numFmtId="3" fontId="12" fillId="0" borderId="1" xfId="1" applyNumberFormat="1" applyFont="1" applyFill="1" applyBorder="1" applyAlignment="1" applyProtection="1">
      <alignment horizontal="right" vertical="center" wrapText="1" indent="1"/>
      <protection locked="0"/>
    </xf>
    <xf numFmtId="0" fontId="12" fillId="0" borderId="6" xfId="0" applyFont="1" applyBorder="1" applyAlignment="1" applyProtection="1">
      <alignment horizontal="center" vertical="center" wrapText="1"/>
      <protection locked="0"/>
    </xf>
    <xf numFmtId="0" fontId="11" fillId="3" borderId="6" xfId="0" applyFont="1" applyFill="1" applyBorder="1" applyAlignment="1" applyProtection="1">
      <alignment horizontal="left" vertical="center" wrapText="1" indent="1"/>
      <protection locked="0"/>
    </xf>
    <xf numFmtId="0" fontId="12" fillId="3" borderId="6" xfId="0" applyFont="1" applyFill="1" applyBorder="1" applyAlignment="1" applyProtection="1">
      <alignment wrapText="1"/>
      <protection locked="0"/>
    </xf>
    <xf numFmtId="164" fontId="11" fillId="3" borderId="6" xfId="0" applyNumberFormat="1" applyFont="1" applyFill="1" applyBorder="1" applyAlignment="1" applyProtection="1">
      <alignment horizontal="right" vertical="center" wrapText="1" indent="1"/>
      <protection locked="0"/>
    </xf>
    <xf numFmtId="0" fontId="11" fillId="2" borderId="1" xfId="0" applyFont="1" applyFill="1" applyBorder="1" applyAlignment="1" applyProtection="1">
      <alignment horizontal="left" vertical="center" wrapText="1" indent="1"/>
      <protection locked="0"/>
    </xf>
    <xf numFmtId="0" fontId="12" fillId="0" borderId="1" xfId="0" applyFont="1" applyBorder="1" applyAlignment="1" applyProtection="1">
      <alignment horizontal="center" vertical="center" wrapText="1"/>
    </xf>
    <xf numFmtId="0" fontId="12" fillId="3" borderId="1" xfId="1" applyNumberFormat="1" applyFont="1" applyFill="1" applyBorder="1" applyAlignment="1" applyProtection="1">
      <alignment horizontal="center" vertical="center" wrapText="1"/>
    </xf>
    <xf numFmtId="0" fontId="12" fillId="3" borderId="1" xfId="0" applyFont="1" applyFill="1" applyBorder="1" applyAlignment="1" applyProtection="1">
      <alignment horizontal="center" vertical="center" wrapText="1"/>
    </xf>
    <xf numFmtId="0" fontId="12" fillId="0" borderId="1" xfId="0" applyFont="1" applyBorder="1" applyAlignment="1" applyProtection="1">
      <alignment vertical="center" wrapText="1"/>
    </xf>
    <xf numFmtId="3" fontId="12" fillId="0" borderId="1" xfId="1" applyNumberFormat="1" applyFont="1" applyFill="1" applyBorder="1" applyAlignment="1" applyProtection="1">
      <alignment horizontal="center" vertical="center" wrapText="1"/>
    </xf>
    <xf numFmtId="0" fontId="12" fillId="3" borderId="4" xfId="1" applyNumberFormat="1" applyFont="1" applyFill="1" applyBorder="1" applyAlignment="1" applyProtection="1">
      <alignment horizontal="center" vertical="center" wrapText="1"/>
    </xf>
    <xf numFmtId="0" fontId="12" fillId="3" borderId="4" xfId="0" applyFont="1" applyFill="1" applyBorder="1" applyAlignment="1" applyProtection="1">
      <alignment horizontal="center" vertical="center" wrapText="1"/>
    </xf>
    <xf numFmtId="49" fontId="12" fillId="0" borderId="5" xfId="1" applyNumberFormat="1" applyFont="1" applyFill="1" applyBorder="1" applyAlignment="1" applyProtection="1">
      <alignment horizontal="left" vertical="center" wrapText="1" indent="1"/>
    </xf>
    <xf numFmtId="0" fontId="12" fillId="0" borderId="5" xfId="1" applyNumberFormat="1" applyFont="1" applyFill="1" applyBorder="1" applyAlignment="1" applyProtection="1">
      <alignment horizontal="left" vertical="center" wrapText="1" indent="1"/>
    </xf>
    <xf numFmtId="0" fontId="12" fillId="3" borderId="5" xfId="1" applyNumberFormat="1" applyFont="1" applyFill="1" applyBorder="1" applyAlignment="1" applyProtection="1">
      <alignment horizontal="center" vertical="center" wrapText="1"/>
    </xf>
    <xf numFmtId="0" fontId="12" fillId="3" borderId="5" xfId="0" applyFont="1" applyFill="1" applyBorder="1" applyAlignment="1" applyProtection="1">
      <alignment horizontal="center" vertical="center" wrapText="1"/>
    </xf>
    <xf numFmtId="0" fontId="12" fillId="0" borderId="4" xfId="0" applyFont="1" applyBorder="1" applyAlignment="1" applyProtection="1">
      <alignment horizontal="center" vertical="center" wrapText="1"/>
    </xf>
    <xf numFmtId="49" fontId="12" fillId="0" borderId="13" xfId="1" applyNumberFormat="1" applyFont="1" applyFill="1" applyBorder="1" applyAlignment="1" applyProtection="1">
      <alignment horizontal="left" vertical="center" wrapText="1" indent="1"/>
    </xf>
    <xf numFmtId="0" fontId="12" fillId="0" borderId="13" xfId="1" applyNumberFormat="1" applyFont="1" applyFill="1" applyBorder="1" applyAlignment="1" applyProtection="1">
      <alignment horizontal="left" vertical="center" wrapText="1" indent="1"/>
    </xf>
    <xf numFmtId="0" fontId="12" fillId="0" borderId="13" xfId="0" applyFont="1" applyBorder="1" applyAlignment="1" applyProtection="1">
      <alignment horizontal="center" vertical="center" wrapText="1"/>
    </xf>
    <xf numFmtId="165" fontId="12" fillId="0" borderId="13" xfId="0" applyNumberFormat="1" applyFont="1" applyBorder="1" applyAlignment="1" applyProtection="1">
      <alignment horizontal="center" vertical="center" wrapText="1"/>
    </xf>
    <xf numFmtId="0" fontId="12" fillId="3" borderId="13" xfId="1" applyNumberFormat="1" applyFont="1" applyFill="1" applyBorder="1" applyAlignment="1" applyProtection="1">
      <alignment horizontal="center" vertical="center" wrapText="1"/>
    </xf>
    <xf numFmtId="165" fontId="12" fillId="0" borderId="6" xfId="0" applyNumberFormat="1" applyFont="1" applyBorder="1" applyAlignment="1" applyProtection="1">
      <alignment horizontal="center" vertical="center" wrapText="1"/>
    </xf>
    <xf numFmtId="0" fontId="12" fillId="0" borderId="1" xfId="1" applyNumberFormat="1" applyFont="1" applyFill="1" applyBorder="1" applyAlignment="1" applyProtection="1">
      <alignment horizontal="center" vertical="center" wrapText="1"/>
    </xf>
    <xf numFmtId="49" fontId="17" fillId="0" borderId="1" xfId="1" applyNumberFormat="1" applyFont="1" applyFill="1" applyBorder="1" applyAlignment="1" applyProtection="1">
      <alignment horizontal="left" vertical="center" indent="1"/>
    </xf>
    <xf numFmtId="0" fontId="12" fillId="0" borderId="7" xfId="0" applyFont="1" applyBorder="1" applyAlignment="1" applyProtection="1">
      <alignment vertical="center" wrapText="1"/>
      <protection locked="0"/>
    </xf>
    <xf numFmtId="0" fontId="13" fillId="0" borderId="1" xfId="0" applyFont="1" applyBorder="1" applyAlignment="1" applyProtection="1">
      <alignment vertical="center" wrapText="1"/>
      <protection locked="0"/>
    </xf>
    <xf numFmtId="164" fontId="13" fillId="0" borderId="1" xfId="1" applyNumberFormat="1" applyFont="1" applyFill="1" applyBorder="1" applyAlignment="1" applyProtection="1">
      <alignment horizontal="right" vertical="center" wrapText="1" indent="1"/>
      <protection locked="0"/>
    </xf>
    <xf numFmtId="37" fontId="12" fillId="0" borderId="4" xfId="0" applyNumberFormat="1" applyFont="1" applyBorder="1" applyAlignment="1" applyProtection="1">
      <alignment horizontal="center" vertical="center" wrapText="1"/>
    </xf>
    <xf numFmtId="37" fontId="13" fillId="0" borderId="4" xfId="0" applyNumberFormat="1" applyFont="1" applyBorder="1" applyAlignment="1" applyProtection="1">
      <alignment horizontal="center" vertical="center" wrapText="1"/>
    </xf>
    <xf numFmtId="0" fontId="13" fillId="0" borderId="1" xfId="0" applyFont="1" applyBorder="1" applyAlignment="1" applyProtection="1">
      <alignment horizontal="left" vertical="center" wrapText="1"/>
    </xf>
    <xf numFmtId="0" fontId="12" fillId="0" borderId="7" xfId="0" applyFont="1" applyBorder="1" applyAlignment="1" applyProtection="1">
      <alignment horizontal="left" vertical="center" wrapText="1" indent="1"/>
      <protection locked="0"/>
    </xf>
    <xf numFmtId="0" fontId="25" fillId="0" borderId="7" xfId="0" applyFont="1" applyBorder="1" applyAlignment="1" applyProtection="1">
      <alignment horizontal="left" vertical="center" wrapText="1" indent="1"/>
      <protection locked="0"/>
    </xf>
    <xf numFmtId="0" fontId="25" fillId="0" borderId="7" xfId="0" applyNumberFormat="1" applyFont="1" applyBorder="1" applyAlignment="1" applyProtection="1">
      <alignment horizontal="right" vertical="center" wrapText="1" indent="1"/>
      <protection locked="0"/>
    </xf>
    <xf numFmtId="37" fontId="13" fillId="0" borderId="7" xfId="0" applyNumberFormat="1" applyFont="1" applyBorder="1" applyAlignment="1" applyProtection="1">
      <alignment wrapText="1"/>
      <protection locked="0"/>
    </xf>
    <xf numFmtId="0" fontId="13" fillId="0" borderId="1" xfId="0" applyFont="1" applyBorder="1" applyAlignment="1" applyProtection="1">
      <alignment horizontal="left" vertical="center" wrapText="1"/>
      <protection locked="0"/>
    </xf>
    <xf numFmtId="0" fontId="11" fillId="2" borderId="6" xfId="0" applyFont="1" applyFill="1" applyBorder="1" applyAlignment="1" applyProtection="1">
      <alignment horizontal="left" vertical="center" wrapText="1"/>
      <protection locked="0"/>
    </xf>
    <xf numFmtId="0" fontId="11" fillId="2" borderId="6" xfId="0" applyFont="1" applyFill="1" applyBorder="1" applyAlignment="1" applyProtection="1">
      <alignment horizontal="left" vertical="center" wrapText="1" indent="1"/>
      <protection locked="0"/>
    </xf>
    <xf numFmtId="49" fontId="12" fillId="0" borderId="1" xfId="0" applyNumberFormat="1" applyFont="1" applyBorder="1" applyAlignment="1" applyProtection="1">
      <alignment vertical="center" wrapText="1"/>
      <protection locked="0"/>
    </xf>
    <xf numFmtId="49" fontId="12" fillId="0" borderId="4" xfId="0" applyNumberFormat="1" applyFont="1" applyBorder="1" applyAlignment="1" applyProtection="1">
      <alignment vertical="center" wrapText="1"/>
      <protection locked="0"/>
    </xf>
    <xf numFmtId="49" fontId="12" fillId="0" borderId="16" xfId="0" applyNumberFormat="1" applyFont="1" applyBorder="1" applyAlignment="1" applyProtection="1">
      <alignment vertical="center" wrapText="1"/>
      <protection locked="0"/>
    </xf>
    <xf numFmtId="0" fontId="12" fillId="0" borderId="16" xfId="1" applyNumberFormat="1" applyFont="1" applyFill="1" applyBorder="1" applyAlignment="1" applyProtection="1">
      <alignment horizontal="left" vertical="center" wrapText="1" indent="1"/>
      <protection locked="0"/>
    </xf>
    <xf numFmtId="0" fontId="12" fillId="0" borderId="16" xfId="0" applyFont="1" applyBorder="1" applyAlignment="1" applyProtection="1">
      <alignment horizontal="center" vertical="center" wrapText="1"/>
      <protection locked="0"/>
    </xf>
    <xf numFmtId="0" fontId="16" fillId="0" borderId="0" xfId="0" applyFont="1"/>
    <xf numFmtId="1" fontId="12" fillId="0" borderId="1" xfId="0" applyNumberFormat="1" applyFont="1" applyBorder="1" applyAlignment="1" applyProtection="1">
      <alignment vertical="center" wrapText="1"/>
      <protection locked="0"/>
    </xf>
    <xf numFmtId="49" fontId="12" fillId="0" borderId="5" xfId="0" applyNumberFormat="1" applyFont="1" applyBorder="1" applyAlignment="1" applyProtection="1">
      <alignment vertical="center" wrapText="1"/>
      <protection locked="0"/>
    </xf>
    <xf numFmtId="49" fontId="26" fillId="0" borderId="1" xfId="0" applyNumberFormat="1" applyFont="1" applyBorder="1" applyAlignment="1" applyProtection="1">
      <alignment vertical="center" wrapText="1"/>
      <protection locked="0"/>
    </xf>
    <xf numFmtId="49" fontId="26" fillId="0" borderId="4" xfId="0" applyNumberFormat="1" applyFont="1" applyBorder="1" applyAlignment="1" applyProtection="1">
      <alignment vertical="center" wrapText="1"/>
      <protection locked="0"/>
    </xf>
    <xf numFmtId="49" fontId="26" fillId="0" borderId="5" xfId="0" applyNumberFormat="1" applyFont="1" applyBorder="1" applyAlignment="1" applyProtection="1">
      <alignment vertical="center" wrapText="1"/>
      <protection locked="0"/>
    </xf>
    <xf numFmtId="49" fontId="26" fillId="0" borderId="16" xfId="0" applyNumberFormat="1" applyFont="1" applyBorder="1" applyAlignment="1" applyProtection="1">
      <alignment vertical="center" wrapText="1"/>
      <protection locked="0"/>
    </xf>
    <xf numFmtId="0" fontId="13" fillId="6" borderId="44" xfId="1" applyNumberFormat="1" applyFont="1" applyFill="1" applyBorder="1" applyAlignment="1" applyProtection="1">
      <alignment horizontal="left" vertical="center" wrapText="1"/>
      <protection locked="0"/>
    </xf>
    <xf numFmtId="0" fontId="11" fillId="2" borderId="7" xfId="0" applyFont="1" applyFill="1" applyBorder="1" applyAlignment="1" applyProtection="1">
      <alignment horizontal="left" vertical="center" wrapText="1"/>
      <protection locked="0"/>
    </xf>
    <xf numFmtId="0" fontId="11" fillId="2" borderId="7" xfId="0" applyFont="1" applyFill="1" applyBorder="1" applyAlignment="1" applyProtection="1">
      <alignment horizontal="left" vertical="center" wrapText="1" indent="1"/>
      <protection locked="0"/>
    </xf>
    <xf numFmtId="0" fontId="14" fillId="0" borderId="0" xfId="0" applyFont="1"/>
    <xf numFmtId="0" fontId="13" fillId="11" borderId="57" xfId="0" applyFont="1" applyFill="1" applyBorder="1" applyAlignment="1" applyProtection="1">
      <alignment horizontal="left" wrapText="1" indent="1"/>
      <protection locked="0"/>
    </xf>
    <xf numFmtId="0" fontId="18" fillId="11" borderId="30" xfId="0" applyFont="1" applyFill="1" applyBorder="1" applyAlignment="1" applyProtection="1">
      <alignment vertical="center"/>
      <protection locked="0"/>
    </xf>
    <xf numFmtId="0" fontId="12" fillId="11" borderId="25" xfId="0" applyFont="1" applyFill="1" applyBorder="1" applyAlignment="1" applyProtection="1">
      <alignment wrapText="1"/>
      <protection locked="0"/>
    </xf>
    <xf numFmtId="0" fontId="12" fillId="0" borderId="1" xfId="1" applyNumberFormat="1" applyFont="1" applyFill="1" applyBorder="1" applyAlignment="1" applyProtection="1">
      <alignment horizontal="left" vertical="center" indent="1"/>
    </xf>
    <xf numFmtId="49" fontId="12" fillId="0" borderId="35" xfId="1" applyNumberFormat="1" applyFont="1" applyFill="1" applyBorder="1" applyAlignment="1" applyProtection="1">
      <alignment horizontal="left" vertical="center" wrapText="1" indent="1"/>
    </xf>
    <xf numFmtId="0" fontId="12" fillId="0" borderId="35" xfId="1" applyNumberFormat="1" applyFont="1" applyFill="1" applyBorder="1" applyAlignment="1" applyProtection="1">
      <alignment horizontal="left" vertical="center" wrapText="1" indent="1"/>
    </xf>
    <xf numFmtId="0" fontId="12" fillId="0" borderId="74" xfId="0" applyFont="1" applyBorder="1" applyAlignment="1" applyProtection="1">
      <alignment horizontal="center" vertical="center" wrapText="1"/>
    </xf>
    <xf numFmtId="0" fontId="12" fillId="0" borderId="0" xfId="0" applyFont="1" applyProtection="1"/>
    <xf numFmtId="0" fontId="13" fillId="6" borderId="44" xfId="1" applyNumberFormat="1" applyFont="1" applyFill="1" applyBorder="1" applyAlignment="1" applyProtection="1">
      <alignment horizontal="center" vertical="center" wrapText="1"/>
    </xf>
    <xf numFmtId="0" fontId="11" fillId="2" borderId="6" xfId="0" applyFont="1" applyFill="1" applyBorder="1" applyAlignment="1" applyProtection="1">
      <alignment horizontal="center" vertical="center" wrapText="1"/>
      <protection locked="0"/>
    </xf>
    <xf numFmtId="49" fontId="12" fillId="0" borderId="1" xfId="6" applyNumberFormat="1" applyFont="1" applyFill="1" applyBorder="1" applyAlignment="1" applyProtection="1">
      <alignment horizontal="left" vertical="top" wrapText="1" indent="1"/>
      <protection locked="0"/>
    </xf>
    <xf numFmtId="49" fontId="12" fillId="0" borderId="4" xfId="6" applyNumberFormat="1" applyFont="1" applyFill="1" applyBorder="1" applyAlignment="1" applyProtection="1">
      <alignment horizontal="left" vertical="top" wrapText="1" indent="1"/>
      <protection locked="0"/>
    </xf>
    <xf numFmtId="49" fontId="12" fillId="0" borderId="5" xfId="6" applyNumberFormat="1" applyFont="1" applyFill="1" applyBorder="1" applyAlignment="1" applyProtection="1">
      <alignment horizontal="left" vertical="top" wrapText="1" indent="1"/>
      <protection locked="0"/>
    </xf>
    <xf numFmtId="0" fontId="12" fillId="0" borderId="5" xfId="0" applyFont="1" applyBorder="1" applyAlignment="1" applyProtection="1">
      <alignment horizontal="left" vertical="center" wrapText="1" indent="1"/>
      <protection locked="0"/>
    </xf>
    <xf numFmtId="0" fontId="12" fillId="0" borderId="5" xfId="0" applyFont="1" applyFill="1" applyBorder="1" applyAlignment="1" applyProtection="1">
      <alignment horizontal="center" vertical="center" wrapText="1"/>
      <protection locked="0"/>
    </xf>
    <xf numFmtId="0" fontId="12" fillId="0" borderId="1" xfId="0" applyFont="1" applyBorder="1" applyAlignment="1" applyProtection="1">
      <alignment horizontal="left" vertical="center" wrapText="1" indent="1"/>
      <protection locked="0"/>
    </xf>
    <xf numFmtId="0" fontId="12" fillId="0" borderId="1" xfId="0" applyFont="1" applyFill="1" applyBorder="1" applyAlignment="1" applyProtection="1">
      <alignment horizontal="center" vertical="center" wrapText="1"/>
      <protection locked="0"/>
    </xf>
    <xf numFmtId="0" fontId="12" fillId="0" borderId="4" xfId="0" applyFont="1" applyFill="1" applyBorder="1" applyAlignment="1" applyProtection="1">
      <alignment horizontal="center" vertical="center" wrapText="1"/>
      <protection locked="0"/>
    </xf>
    <xf numFmtId="0" fontId="12" fillId="0" borderId="4" xfId="0" applyFont="1" applyFill="1" applyBorder="1" applyAlignment="1" applyProtection="1">
      <alignment wrapText="1"/>
      <protection locked="0"/>
    </xf>
    <xf numFmtId="0" fontId="12" fillId="0" borderId="1" xfId="0" applyFont="1" applyFill="1" applyBorder="1" applyAlignment="1" applyProtection="1">
      <alignment wrapText="1"/>
      <protection locked="0"/>
    </xf>
    <xf numFmtId="0" fontId="12" fillId="0" borderId="0" xfId="0" applyFont="1" applyBorder="1" applyAlignment="1" applyProtection="1">
      <alignment horizontal="left" vertical="center" wrapText="1" indent="1"/>
      <protection locked="0"/>
    </xf>
    <xf numFmtId="0" fontId="12" fillId="0" borderId="3" xfId="1" applyNumberFormat="1" applyFont="1" applyFill="1" applyBorder="1" applyAlignment="1" applyProtection="1">
      <alignment horizontal="left" vertical="center" wrapText="1" indent="1"/>
      <protection locked="0"/>
    </xf>
    <xf numFmtId="166" fontId="12" fillId="0" borderId="3" xfId="1" applyNumberFormat="1" applyFont="1" applyFill="1" applyBorder="1" applyAlignment="1" applyProtection="1">
      <alignment horizontal="right" vertical="center" wrapText="1" indent="1"/>
      <protection locked="0"/>
    </xf>
    <xf numFmtId="166" fontId="12" fillId="0" borderId="1" xfId="1" applyNumberFormat="1" applyFont="1" applyFill="1" applyBorder="1" applyAlignment="1" applyProtection="1">
      <alignment horizontal="right" vertical="center" wrapText="1" indent="1"/>
      <protection locked="0"/>
    </xf>
    <xf numFmtId="0" fontId="12" fillId="0" borderId="3" xfId="0" applyFont="1" applyBorder="1" applyAlignment="1" applyProtection="1">
      <alignment horizontal="left" vertical="center" wrapText="1" indent="1"/>
      <protection locked="0"/>
    </xf>
    <xf numFmtId="0" fontId="12" fillId="0" borderId="3" xfId="0" applyFont="1" applyBorder="1" applyAlignment="1" applyProtection="1">
      <alignment horizontal="center" vertical="center" wrapText="1"/>
      <protection locked="0"/>
    </xf>
    <xf numFmtId="165" fontId="12" fillId="0" borderId="3" xfId="0" applyNumberFormat="1" applyFont="1" applyBorder="1" applyAlignment="1" applyProtection="1">
      <alignment horizontal="center" vertical="center" wrapText="1"/>
    </xf>
    <xf numFmtId="0" fontId="13" fillId="6" borderId="59" xfId="1" applyNumberFormat="1" applyFont="1" applyFill="1" applyBorder="1" applyAlignment="1" applyProtection="1">
      <alignment horizontal="left" vertical="center"/>
      <protection locked="0"/>
    </xf>
    <xf numFmtId="166" fontId="13" fillId="6" borderId="10" xfId="0" applyNumberFormat="1" applyFont="1" applyFill="1" applyBorder="1" applyAlignment="1" applyProtection="1">
      <alignment horizontal="center" vertical="center" wrapText="1"/>
    </xf>
    <xf numFmtId="0" fontId="13" fillId="0" borderId="2" xfId="1" applyNumberFormat="1" applyFont="1" applyFill="1" applyBorder="1" applyAlignment="1" applyProtection="1">
      <alignment horizontal="left" vertical="center" wrapText="1" indent="1"/>
      <protection locked="0"/>
    </xf>
    <xf numFmtId="0" fontId="11" fillId="2" borderId="1" xfId="0" applyFont="1" applyFill="1" applyBorder="1" applyAlignment="1" applyProtection="1">
      <alignment horizontal="left" vertical="center" wrapText="1" indent="1"/>
    </xf>
    <xf numFmtId="0" fontId="12" fillId="0" borderId="3" xfId="1" applyNumberFormat="1" applyFont="1" applyFill="1" applyBorder="1" applyAlignment="1" applyProtection="1">
      <alignment horizontal="left" vertical="center" wrapText="1" indent="1"/>
    </xf>
    <xf numFmtId="0" fontId="11" fillId="2" borderId="42" xfId="0" applyFont="1" applyFill="1" applyBorder="1" applyAlignment="1" applyProtection="1">
      <alignment horizontal="left" vertical="center" wrapText="1" indent="1"/>
    </xf>
    <xf numFmtId="0" fontId="11" fillId="2" borderId="35" xfId="0" applyFont="1" applyFill="1" applyBorder="1" applyAlignment="1" applyProtection="1">
      <alignment horizontal="left" vertical="center" wrapText="1" indent="1"/>
    </xf>
    <xf numFmtId="164" fontId="12" fillId="0" borderId="1" xfId="0" applyNumberFormat="1" applyFont="1" applyBorder="1" applyAlignment="1" applyProtection="1">
      <alignment horizontal="right" vertical="center" wrapText="1" indent="1"/>
    </xf>
    <xf numFmtId="0" fontId="12" fillId="0" borderId="1" xfId="0" applyFont="1" applyBorder="1" applyAlignment="1" applyProtection="1">
      <alignment wrapText="1"/>
    </xf>
    <xf numFmtId="0" fontId="12" fillId="0" borderId="37" xfId="0" applyFont="1" applyBorder="1" applyProtection="1"/>
    <xf numFmtId="49" fontId="12" fillId="0" borderId="38" xfId="1" applyNumberFormat="1" applyFont="1" applyFill="1" applyBorder="1" applyAlignment="1" applyProtection="1">
      <alignment horizontal="left" vertical="center" wrapText="1" indent="1"/>
    </xf>
    <xf numFmtId="166" fontId="12" fillId="0" borderId="37" xfId="0" applyNumberFormat="1" applyFont="1" applyBorder="1" applyAlignment="1" applyProtection="1">
      <alignment horizontal="center" vertical="center"/>
    </xf>
    <xf numFmtId="166" fontId="12" fillId="0" borderId="78" xfId="0" applyNumberFormat="1" applyFont="1" applyBorder="1" applyAlignment="1" applyProtection="1">
      <alignment horizontal="center" vertical="center"/>
    </xf>
    <xf numFmtId="0" fontId="13" fillId="3" borderId="19" xfId="0" applyFont="1" applyFill="1" applyBorder="1" applyProtection="1">
      <protection locked="0"/>
    </xf>
    <xf numFmtId="0" fontId="13" fillId="3" borderId="20" xfId="0" applyFont="1" applyFill="1" applyBorder="1" applyProtection="1">
      <protection locked="0"/>
    </xf>
    <xf numFmtId="0" fontId="12" fillId="3" borderId="20" xfId="0" applyFont="1" applyFill="1" applyBorder="1" applyProtection="1">
      <protection locked="0"/>
    </xf>
    <xf numFmtId="0" fontId="12" fillId="3" borderId="21" xfId="0" applyFont="1" applyFill="1" applyBorder="1" applyProtection="1"/>
    <xf numFmtId="0" fontId="12" fillId="3" borderId="22" xfId="0" applyFont="1" applyFill="1" applyBorder="1" applyProtection="1">
      <protection locked="0"/>
    </xf>
    <xf numFmtId="0" fontId="12" fillId="3" borderId="0" xfId="0" applyFont="1" applyFill="1" applyBorder="1" applyProtection="1">
      <protection locked="0"/>
    </xf>
    <xf numFmtId="165" fontId="12" fillId="3" borderId="23" xfId="0" applyNumberFormat="1" applyFont="1" applyFill="1" applyBorder="1" applyAlignment="1" applyProtection="1">
      <alignment horizontal="center"/>
    </xf>
    <xf numFmtId="0" fontId="13" fillId="5" borderId="24" xfId="0" applyFont="1" applyFill="1" applyBorder="1" applyProtection="1">
      <protection locked="0"/>
    </xf>
    <xf numFmtId="0" fontId="13" fillId="5" borderId="25" xfId="0" applyFont="1" applyFill="1" applyBorder="1" applyProtection="1">
      <protection locked="0"/>
    </xf>
    <xf numFmtId="0" fontId="12" fillId="5" borderId="25" xfId="0" applyFont="1" applyFill="1" applyBorder="1" applyProtection="1">
      <protection locked="0"/>
    </xf>
    <xf numFmtId="165" fontId="13" fillId="5" borderId="26" xfId="0" applyNumberFormat="1" applyFont="1" applyFill="1" applyBorder="1" applyAlignment="1" applyProtection="1">
      <alignment horizontal="center"/>
    </xf>
    <xf numFmtId="165" fontId="12" fillId="3" borderId="23" xfId="0" applyNumberFormat="1" applyFont="1" applyFill="1" applyBorder="1" applyAlignment="1" applyProtection="1">
      <alignment horizontal="center" vertical="center"/>
    </xf>
    <xf numFmtId="0" fontId="13" fillId="3" borderId="25" xfId="0" applyFont="1" applyFill="1" applyBorder="1" applyAlignment="1" applyProtection="1">
      <alignment horizontal="center"/>
    </xf>
    <xf numFmtId="165" fontId="13" fillId="3" borderId="26" xfId="0" applyNumberFormat="1" applyFont="1" applyFill="1" applyBorder="1" applyAlignment="1" applyProtection="1">
      <alignment horizontal="center" vertical="center"/>
    </xf>
    <xf numFmtId="165" fontId="13" fillId="5" borderId="26" xfId="1" applyNumberFormat="1" applyFont="1" applyFill="1" applyBorder="1" applyAlignment="1" applyProtection="1">
      <alignment horizontal="center" vertical="center" wrapText="1"/>
    </xf>
    <xf numFmtId="0" fontId="12" fillId="3" borderId="0" xfId="1" applyNumberFormat="1" applyFont="1" applyFill="1" applyBorder="1" applyAlignment="1" applyProtection="1">
      <alignment horizontal="left" vertical="center" wrapText="1"/>
      <protection locked="0"/>
    </xf>
    <xf numFmtId="165" fontId="12" fillId="3" borderId="56" xfId="0" applyNumberFormat="1" applyFont="1" applyFill="1" applyBorder="1" applyAlignment="1" applyProtection="1">
      <alignment horizontal="center"/>
    </xf>
    <xf numFmtId="0" fontId="30" fillId="0" borderId="0" xfId="0" applyFont="1" applyProtection="1">
      <protection locked="0"/>
    </xf>
    <xf numFmtId="0" fontId="12" fillId="0" borderId="20" xfId="0" applyFont="1" applyBorder="1" applyProtection="1">
      <protection locked="0"/>
    </xf>
    <xf numFmtId="0" fontId="13" fillId="0" borderId="0" xfId="0" applyFont="1" applyProtection="1">
      <protection locked="0"/>
    </xf>
    <xf numFmtId="9" fontId="12" fillId="10" borderId="23" xfId="0" applyNumberFormat="1" applyFont="1" applyFill="1" applyBorder="1" applyAlignment="1" applyProtection="1">
      <alignment horizontal="left" indent="1"/>
      <protection locked="0"/>
    </xf>
    <xf numFmtId="9" fontId="12" fillId="10" borderId="29" xfId="0" applyNumberFormat="1" applyFont="1" applyFill="1" applyBorder="1" applyAlignment="1" applyProtection="1">
      <alignment horizontal="left" indent="1"/>
      <protection locked="0"/>
    </xf>
    <xf numFmtId="0" fontId="12" fillId="0" borderId="0" xfId="0" applyFont="1" applyBorder="1" applyProtection="1">
      <protection locked="0"/>
    </xf>
    <xf numFmtId="0" fontId="13" fillId="3" borderId="22" xfId="0" applyFont="1" applyFill="1" applyBorder="1" applyProtection="1">
      <protection locked="0"/>
    </xf>
    <xf numFmtId="0" fontId="13" fillId="3" borderId="0" xfId="0" applyFont="1" applyFill="1" applyBorder="1" applyProtection="1">
      <protection locked="0"/>
    </xf>
    <xf numFmtId="165" fontId="12" fillId="3" borderId="76" xfId="0" applyNumberFormat="1" applyFont="1" applyFill="1" applyBorder="1" applyAlignment="1" applyProtection="1">
      <alignment horizontal="center"/>
      <protection locked="0"/>
    </xf>
    <xf numFmtId="0" fontId="13" fillId="5" borderId="32" xfId="0" applyFont="1" applyFill="1" applyBorder="1" applyProtection="1">
      <protection locked="0"/>
    </xf>
    <xf numFmtId="0" fontId="31" fillId="8" borderId="24" xfId="0" applyFont="1" applyFill="1" applyBorder="1" applyAlignment="1" applyProtection="1">
      <alignment vertical="center"/>
      <protection locked="0"/>
    </xf>
    <xf numFmtId="0" fontId="32" fillId="8" borderId="25" xfId="0" applyFont="1" applyFill="1" applyBorder="1" applyAlignment="1" applyProtection="1">
      <alignment horizontal="left" vertical="center" wrapText="1"/>
      <protection locked="0"/>
    </xf>
    <xf numFmtId="0" fontId="32" fillId="8" borderId="25" xfId="0" applyFont="1" applyFill="1" applyBorder="1" applyAlignment="1" applyProtection="1">
      <alignment horizontal="left" vertical="center" wrapText="1" indent="1"/>
      <protection locked="0"/>
    </xf>
    <xf numFmtId="0" fontId="0" fillId="12" borderId="0" xfId="0" applyFill="1"/>
    <xf numFmtId="0" fontId="0" fillId="12" borderId="0" xfId="0" applyFill="1" applyBorder="1"/>
    <xf numFmtId="0" fontId="36" fillId="12" borderId="0" xfId="0" applyFont="1" applyFill="1" applyBorder="1"/>
    <xf numFmtId="0" fontId="0" fillId="10" borderId="0" xfId="0" applyFill="1" applyBorder="1"/>
    <xf numFmtId="0" fontId="12" fillId="0" borderId="79" xfId="0" applyFont="1" applyBorder="1" applyAlignment="1" applyProtection="1">
      <alignment wrapText="1"/>
      <protection locked="0"/>
    </xf>
    <xf numFmtId="0" fontId="12" fillId="0" borderId="79" xfId="0" applyFont="1" applyBorder="1" applyAlignment="1" applyProtection="1">
      <alignment horizontal="left" wrapText="1" indent="1"/>
      <protection locked="0"/>
    </xf>
    <xf numFmtId="164" fontId="12" fillId="0" borderId="79" xfId="0" applyNumberFormat="1" applyFont="1" applyBorder="1" applyAlignment="1" applyProtection="1">
      <alignment horizontal="right" wrapText="1" indent="1"/>
      <protection locked="0"/>
    </xf>
    <xf numFmtId="165" fontId="18" fillId="5" borderId="26" xfId="0" applyNumberFormat="1" applyFont="1" applyFill="1" applyBorder="1" applyAlignment="1" applyProtection="1">
      <alignment horizontal="center" vertical="center"/>
    </xf>
    <xf numFmtId="0" fontId="12" fillId="10" borderId="21" xfId="0" applyFont="1" applyFill="1" applyBorder="1" applyAlignment="1" applyProtection="1">
      <alignment horizontal="left" indent="1"/>
    </xf>
    <xf numFmtId="0" fontId="12" fillId="10" borderId="23" xfId="0" applyFont="1" applyFill="1" applyBorder="1" applyAlignment="1" applyProtection="1">
      <alignment horizontal="left" indent="1"/>
    </xf>
    <xf numFmtId="165" fontId="13" fillId="11" borderId="58" xfId="0" applyNumberFormat="1" applyFont="1" applyFill="1" applyBorder="1" applyAlignment="1" applyProtection="1">
      <alignment horizontal="center" vertical="center" wrapText="1"/>
    </xf>
    <xf numFmtId="0" fontId="37" fillId="10" borderId="0" xfId="0" applyFont="1" applyFill="1" applyBorder="1"/>
    <xf numFmtId="0" fontId="0" fillId="0" borderId="0" xfId="0" applyProtection="1">
      <protection locked="0"/>
    </xf>
    <xf numFmtId="0" fontId="5" fillId="0" borderId="0" xfId="0" applyFont="1" applyAlignment="1" applyProtection="1">
      <alignment horizontal="justify" vertical="center"/>
      <protection locked="0"/>
    </xf>
    <xf numFmtId="0" fontId="5" fillId="0" borderId="0" xfId="0" applyFont="1" applyProtection="1">
      <protection locked="0"/>
    </xf>
    <xf numFmtId="0" fontId="38" fillId="0" borderId="0" xfId="0" applyFont="1" applyAlignment="1" applyProtection="1">
      <alignment horizontal="center" vertical="center"/>
    </xf>
    <xf numFmtId="0" fontId="5" fillId="3" borderId="80" xfId="0" applyFont="1" applyFill="1" applyBorder="1" applyAlignment="1" applyProtection="1">
      <alignment horizontal="justify" vertical="center"/>
    </xf>
    <xf numFmtId="0" fontId="5" fillId="0" borderId="0" xfId="0" applyFont="1" applyAlignment="1" applyProtection="1">
      <alignment horizontal="justify" vertical="center"/>
    </xf>
    <xf numFmtId="0" fontId="40" fillId="3" borderId="80" xfId="0" applyFont="1" applyFill="1" applyBorder="1" applyAlignment="1" applyProtection="1">
      <alignment horizontal="justify" vertical="center"/>
    </xf>
    <xf numFmtId="0" fontId="39" fillId="0" borderId="0" xfId="0" applyFont="1" applyAlignment="1" applyProtection="1">
      <alignment horizontal="justify" vertical="center"/>
    </xf>
    <xf numFmtId="165" fontId="12" fillId="3" borderId="76" xfId="0" applyNumberFormat="1" applyFont="1" applyFill="1" applyBorder="1" applyAlignment="1" applyProtection="1">
      <alignment horizontal="center"/>
    </xf>
    <xf numFmtId="165" fontId="13" fillId="5" borderId="32" xfId="0" applyNumberFormat="1" applyFont="1" applyFill="1" applyBorder="1" applyAlignment="1" applyProtection="1">
      <alignment horizontal="center"/>
    </xf>
    <xf numFmtId="0" fontId="12" fillId="3" borderId="23" xfId="0" applyFont="1" applyFill="1" applyBorder="1" applyProtection="1"/>
    <xf numFmtId="165" fontId="12" fillId="3" borderId="76" xfId="0" applyNumberFormat="1" applyFont="1" applyFill="1" applyBorder="1" applyAlignment="1" applyProtection="1">
      <alignment horizontal="center" vertical="center"/>
    </xf>
    <xf numFmtId="0" fontId="12" fillId="3" borderId="77" xfId="0" applyFont="1" applyFill="1" applyBorder="1" applyProtection="1"/>
    <xf numFmtId="165" fontId="12" fillId="3" borderId="32" xfId="0" applyNumberFormat="1" applyFont="1" applyFill="1" applyBorder="1" applyAlignment="1" applyProtection="1">
      <alignment horizontal="center" vertical="center"/>
    </xf>
    <xf numFmtId="165" fontId="13" fillId="5" borderId="32" xfId="1" applyNumberFormat="1" applyFont="1" applyFill="1" applyBorder="1" applyAlignment="1" applyProtection="1">
      <alignment horizontal="center" vertical="center" wrapText="1"/>
    </xf>
    <xf numFmtId="165" fontId="12" fillId="3" borderId="75" xfId="0" applyNumberFormat="1" applyFont="1" applyFill="1" applyBorder="1" applyAlignment="1" applyProtection="1">
      <alignment horizontal="center"/>
    </xf>
    <xf numFmtId="0" fontId="12" fillId="0" borderId="25" xfId="0" applyFont="1" applyBorder="1" applyProtection="1"/>
    <xf numFmtId="165" fontId="33" fillId="8" borderId="32" xfId="0" applyNumberFormat="1" applyFont="1" applyFill="1" applyBorder="1" applyAlignment="1" applyProtection="1">
      <alignment horizontal="center" vertical="center"/>
    </xf>
    <xf numFmtId="165" fontId="33" fillId="8" borderId="26" xfId="0" applyNumberFormat="1" applyFont="1" applyFill="1" applyBorder="1" applyAlignment="1" applyProtection="1">
      <alignment horizontal="center" vertical="center"/>
    </xf>
    <xf numFmtId="165" fontId="13" fillId="9" borderId="26" xfId="0" applyNumberFormat="1" applyFont="1" applyFill="1" applyBorder="1" applyAlignment="1" applyProtection="1">
      <alignment horizontal="center"/>
    </xf>
    <xf numFmtId="165" fontId="12" fillId="0" borderId="0" xfId="0" applyNumberFormat="1" applyFont="1" applyProtection="1"/>
    <xf numFmtId="10" fontId="12" fillId="3" borderId="23" xfId="0" applyNumberFormat="1" applyFont="1" applyFill="1" applyBorder="1" applyAlignment="1" applyProtection="1">
      <alignment horizontal="center"/>
    </xf>
    <xf numFmtId="10" fontId="12" fillId="9" borderId="26" xfId="0" applyNumberFormat="1" applyFont="1" applyFill="1" applyBorder="1" applyAlignment="1" applyProtection="1">
      <alignment horizontal="center"/>
    </xf>
    <xf numFmtId="10" fontId="12" fillId="3" borderId="75" xfId="0" applyNumberFormat="1" applyFont="1" applyFill="1" applyBorder="1" applyAlignment="1" applyProtection="1">
      <alignment horizontal="center"/>
    </xf>
    <xf numFmtId="0" fontId="12" fillId="9" borderId="26" xfId="0" applyFont="1" applyFill="1" applyBorder="1" applyProtection="1"/>
    <xf numFmtId="10" fontId="12" fillId="0" borderId="0" xfId="0" applyNumberFormat="1" applyFont="1" applyAlignment="1" applyProtection="1">
      <alignment horizontal="center"/>
    </xf>
    <xf numFmtId="0" fontId="32" fillId="8" borderId="32" xfId="0" applyFont="1" applyFill="1" applyBorder="1" applyProtection="1"/>
    <xf numFmtId="0" fontId="12" fillId="0" borderId="81" xfId="0" applyFont="1" applyBorder="1" applyAlignment="1" applyProtection="1">
      <alignment wrapText="1"/>
      <protection locked="0"/>
    </xf>
    <xf numFmtId="164" fontId="22" fillId="13" borderId="9" xfId="1" applyNumberFormat="1" applyFont="1" applyFill="1" applyBorder="1" applyAlignment="1" applyProtection="1">
      <alignment horizontal="center" vertical="center" wrapText="1"/>
      <protection locked="0"/>
    </xf>
    <xf numFmtId="164" fontId="12" fillId="13" borderId="9" xfId="1" applyNumberFormat="1" applyFont="1" applyFill="1" applyBorder="1" applyAlignment="1" applyProtection="1">
      <alignment horizontal="center" vertical="center" wrapText="1"/>
      <protection locked="0"/>
    </xf>
    <xf numFmtId="0" fontId="12" fillId="13" borderId="9" xfId="0" applyNumberFormat="1" applyFont="1" applyFill="1" applyBorder="1" applyAlignment="1" applyProtection="1">
      <alignment horizontal="center" vertical="center" wrapText="1"/>
      <protection locked="0"/>
    </xf>
    <xf numFmtId="3" fontId="13" fillId="0" borderId="10" xfId="1" applyNumberFormat="1" applyFont="1" applyFill="1" applyBorder="1" applyAlignment="1" applyProtection="1">
      <alignment horizontal="center" vertical="center" wrapText="1"/>
    </xf>
    <xf numFmtId="0" fontId="12" fillId="13" borderId="3" xfId="0" applyFont="1" applyFill="1" applyBorder="1" applyAlignment="1" applyProtection="1">
      <alignment horizontal="left" vertical="center" wrapText="1" indent="1"/>
      <protection locked="0"/>
    </xf>
    <xf numFmtId="0" fontId="12" fillId="13" borderId="1" xfId="1" applyNumberFormat="1" applyFont="1" applyFill="1" applyBorder="1" applyAlignment="1" applyProtection="1">
      <alignment horizontal="center" vertical="center" wrapText="1"/>
      <protection locked="0"/>
    </xf>
    <xf numFmtId="165" fontId="12" fillId="0" borderId="7" xfId="1" applyNumberFormat="1" applyFont="1" applyFill="1" applyBorder="1" applyAlignment="1" applyProtection="1">
      <alignment horizontal="center" wrapText="1"/>
      <protection locked="0"/>
    </xf>
    <xf numFmtId="165" fontId="12" fillId="0" borderId="7" xfId="0" applyNumberFormat="1" applyFont="1" applyBorder="1" applyAlignment="1" applyProtection="1">
      <alignment horizontal="center" wrapText="1"/>
    </xf>
    <xf numFmtId="0" fontId="12" fillId="10" borderId="30" xfId="0" applyFont="1" applyFill="1" applyBorder="1" applyAlignment="1" applyProtection="1">
      <alignment horizontal="left" wrapText="1" indent="1"/>
    </xf>
    <xf numFmtId="164" fontId="12" fillId="10" borderId="30" xfId="0" applyNumberFormat="1" applyFont="1" applyFill="1" applyBorder="1" applyAlignment="1" applyProtection="1">
      <alignment horizontal="right" wrapText="1" indent="1"/>
    </xf>
    <xf numFmtId="0" fontId="12" fillId="10" borderId="31" xfId="0" applyFont="1" applyFill="1" applyBorder="1" applyAlignment="1" applyProtection="1">
      <alignment wrapText="1"/>
    </xf>
    <xf numFmtId="165" fontId="13" fillId="10" borderId="32" xfId="0" applyNumberFormat="1" applyFont="1" applyFill="1" applyBorder="1" applyAlignment="1" applyProtection="1">
      <alignment horizontal="center" vertical="center" wrapText="1"/>
    </xf>
    <xf numFmtId="0" fontId="13" fillId="10" borderId="57" xfId="0" applyFont="1" applyFill="1" applyBorder="1" applyAlignment="1" applyProtection="1">
      <alignment horizontal="left" vertical="center"/>
    </xf>
    <xf numFmtId="49" fontId="12" fillId="10" borderId="18" xfId="1" applyNumberFormat="1" applyFont="1" applyFill="1" applyBorder="1" applyAlignment="1" applyProtection="1">
      <alignment horizontal="left" vertical="center" wrapText="1" indent="1"/>
    </xf>
    <xf numFmtId="0" fontId="12" fillId="10" borderId="18" xfId="1" applyNumberFormat="1" applyFont="1" applyFill="1" applyBorder="1" applyAlignment="1" applyProtection="1">
      <alignment horizontal="left" vertical="center" wrapText="1" indent="1"/>
    </xf>
    <xf numFmtId="164" fontId="12" fillId="10" borderId="18" xfId="1" applyNumberFormat="1" applyFont="1" applyFill="1" applyBorder="1" applyAlignment="1" applyProtection="1">
      <alignment horizontal="right" vertical="center" wrapText="1" indent="1"/>
    </xf>
    <xf numFmtId="0" fontId="12" fillId="10" borderId="18" xfId="0" applyFont="1" applyFill="1" applyBorder="1" applyAlignment="1" applyProtection="1">
      <alignment vertical="center" wrapText="1"/>
    </xf>
    <xf numFmtId="165" fontId="13" fillId="10" borderId="18" xfId="0" applyNumberFormat="1" applyFont="1" applyFill="1" applyBorder="1" applyAlignment="1" applyProtection="1">
      <alignment horizontal="center" vertical="center" wrapText="1"/>
    </xf>
    <xf numFmtId="3" fontId="13" fillId="10" borderId="18" xfId="0" applyNumberFormat="1" applyFont="1" applyFill="1" applyBorder="1" applyAlignment="1" applyProtection="1">
      <alignment horizontal="center" vertical="center" wrapText="1"/>
    </xf>
    <xf numFmtId="0" fontId="12" fillId="10" borderId="18" xfId="0" applyFont="1" applyFill="1" applyBorder="1" applyAlignment="1" applyProtection="1">
      <alignment horizontal="left" wrapText="1" indent="1"/>
      <protection locked="0"/>
    </xf>
    <xf numFmtId="0" fontId="13" fillId="10" borderId="18" xfId="1" applyNumberFormat="1" applyFont="1" applyFill="1" applyBorder="1" applyAlignment="1" applyProtection="1">
      <alignment horizontal="left" vertical="center" wrapText="1" indent="1"/>
      <protection locked="0"/>
    </xf>
    <xf numFmtId="164" fontId="12" fillId="10" borderId="18" xfId="0" applyNumberFormat="1" applyFont="1" applyFill="1" applyBorder="1" applyAlignment="1" applyProtection="1">
      <alignment horizontal="right" wrapText="1" indent="1"/>
      <protection locked="0"/>
    </xf>
    <xf numFmtId="0" fontId="12" fillId="10" borderId="18" xfId="0" applyFont="1" applyFill="1" applyBorder="1" applyAlignment="1" applyProtection="1">
      <alignment wrapText="1"/>
      <protection locked="0"/>
    </xf>
    <xf numFmtId="0" fontId="13" fillId="10" borderId="44" xfId="1" applyNumberFormat="1" applyFont="1" applyFill="1" applyBorder="1" applyAlignment="1" applyProtection="1">
      <alignment horizontal="center" vertical="center" wrapText="1"/>
    </xf>
    <xf numFmtId="0" fontId="13" fillId="10" borderId="59" xfId="1" applyNumberFormat="1" applyFont="1" applyFill="1" applyBorder="1" applyAlignment="1" applyProtection="1">
      <alignment horizontal="center" vertical="center" wrapText="1"/>
    </xf>
    <xf numFmtId="0" fontId="13" fillId="10" borderId="44" xfId="1" applyNumberFormat="1" applyFont="1" applyFill="1" applyBorder="1" applyAlignment="1" applyProtection="1">
      <alignment horizontal="left" vertical="center"/>
    </xf>
    <xf numFmtId="0" fontId="13" fillId="10" borderId="44" xfId="1" applyNumberFormat="1" applyFont="1" applyFill="1" applyBorder="1" applyAlignment="1" applyProtection="1">
      <alignment horizontal="center" vertical="center" wrapText="1"/>
      <protection locked="0"/>
    </xf>
    <xf numFmtId="165" fontId="13" fillId="10" borderId="52" xfId="1" applyNumberFormat="1" applyFont="1" applyFill="1" applyBorder="1" applyAlignment="1" applyProtection="1">
      <alignment horizontal="center" vertical="center" wrapText="1"/>
    </xf>
    <xf numFmtId="0" fontId="13" fillId="11" borderId="43" xfId="0" applyFont="1" applyFill="1" applyBorder="1" applyAlignment="1" applyProtection="1">
      <alignment horizontal="center" vertical="center"/>
      <protection locked="0"/>
    </xf>
    <xf numFmtId="0" fontId="12" fillId="3" borderId="4" xfId="0" applyFont="1" applyFill="1" applyBorder="1" applyAlignment="1" applyProtection="1">
      <alignment horizontal="center" wrapText="1"/>
    </xf>
    <xf numFmtId="0" fontId="12" fillId="0" borderId="1" xfId="0" applyFont="1" applyFill="1" applyBorder="1" applyAlignment="1" applyProtection="1">
      <alignment horizontal="center" wrapText="1"/>
    </xf>
    <xf numFmtId="165" fontId="12" fillId="0" borderId="48" xfId="0" applyNumberFormat="1" applyFont="1" applyFill="1" applyBorder="1" applyAlignment="1" applyProtection="1">
      <alignment horizontal="center" wrapText="1"/>
    </xf>
    <xf numFmtId="165" fontId="12" fillId="0" borderId="46" xfId="0" applyNumberFormat="1" applyFont="1" applyFill="1" applyBorder="1" applyAlignment="1" applyProtection="1">
      <alignment horizontal="center" wrapText="1"/>
    </xf>
    <xf numFmtId="0" fontId="12" fillId="0" borderId="7" xfId="0" applyFont="1" applyBorder="1" applyAlignment="1" applyProtection="1">
      <alignment horizontal="center" wrapText="1"/>
    </xf>
    <xf numFmtId="165" fontId="12" fillId="0" borderId="12" xfId="0" applyNumberFormat="1" applyFont="1" applyBorder="1" applyAlignment="1" applyProtection="1">
      <alignment horizontal="center" vertical="center" wrapText="1"/>
    </xf>
    <xf numFmtId="165" fontId="12" fillId="0" borderId="1" xfId="1" applyNumberFormat="1" applyFont="1" applyFill="1" applyBorder="1" applyAlignment="1" applyProtection="1">
      <alignment horizontal="right" vertical="center" wrapText="1" indent="1"/>
    </xf>
    <xf numFmtId="165" fontId="13" fillId="10" borderId="10" xfId="0" applyNumberFormat="1" applyFont="1" applyFill="1" applyBorder="1" applyAlignment="1" applyProtection="1">
      <alignment horizontal="center" vertical="center" wrapText="1"/>
    </xf>
    <xf numFmtId="165" fontId="13" fillId="6" borderId="10" xfId="0" applyNumberFormat="1" applyFont="1" applyFill="1" applyBorder="1" applyAlignment="1" applyProtection="1">
      <alignment horizontal="center" vertical="center" wrapText="1"/>
    </xf>
    <xf numFmtId="0" fontId="45" fillId="0" borderId="0" xfId="0" applyFont="1" applyBorder="1" applyAlignment="1" applyProtection="1">
      <alignment vertical="center"/>
      <protection locked="0"/>
    </xf>
    <xf numFmtId="0" fontId="11" fillId="2" borderId="57" xfId="0" applyFont="1" applyFill="1" applyBorder="1" applyAlignment="1" applyProtection="1">
      <alignment horizontal="left" vertical="center" wrapText="1" indent="1"/>
    </xf>
    <xf numFmtId="0" fontId="11" fillId="2" borderId="30" xfId="0" applyFont="1" applyFill="1" applyBorder="1" applyAlignment="1" applyProtection="1">
      <alignment horizontal="left" vertical="center" wrapText="1" indent="1"/>
    </xf>
    <xf numFmtId="165" fontId="12" fillId="0" borderId="0" xfId="0" applyNumberFormat="1" applyFont="1" applyProtection="1">
      <protection locked="0"/>
    </xf>
    <xf numFmtId="9" fontId="12" fillId="10" borderId="23" xfId="0" applyNumberFormat="1" applyFont="1" applyFill="1" applyBorder="1" applyAlignment="1" applyProtection="1">
      <alignment horizontal="left" indent="1"/>
    </xf>
    <xf numFmtId="9" fontId="12" fillId="10" borderId="29" xfId="0" applyNumberFormat="1" applyFont="1" applyFill="1" applyBorder="1" applyAlignment="1" applyProtection="1">
      <alignment horizontal="left" indent="1"/>
    </xf>
    <xf numFmtId="9" fontId="12" fillId="3" borderId="23" xfId="0" applyNumberFormat="1" applyFont="1" applyFill="1" applyBorder="1" applyAlignment="1" applyProtection="1">
      <alignment horizontal="center"/>
    </xf>
    <xf numFmtId="0" fontId="13" fillId="5" borderId="32" xfId="0" applyFont="1" applyFill="1" applyBorder="1" applyProtection="1"/>
    <xf numFmtId="167" fontId="12" fillId="3" borderId="23" xfId="0" applyNumberFormat="1" applyFont="1" applyFill="1" applyBorder="1" applyAlignment="1" applyProtection="1">
      <alignment horizontal="center"/>
    </xf>
    <xf numFmtId="9" fontId="12" fillId="3" borderId="82" xfId="0" applyNumberFormat="1" applyFont="1" applyFill="1" applyBorder="1" applyAlignment="1" applyProtection="1">
      <alignment horizontal="center"/>
    </xf>
    <xf numFmtId="9" fontId="12" fillId="9" borderId="32" xfId="0" applyNumberFormat="1" applyFont="1" applyFill="1" applyBorder="1" applyAlignment="1" applyProtection="1">
      <alignment horizontal="center"/>
    </xf>
    <xf numFmtId="0" fontId="12" fillId="3" borderId="0" xfId="0" applyFont="1" applyFill="1" applyBorder="1" applyProtection="1"/>
    <xf numFmtId="0" fontId="12" fillId="3" borderId="0" xfId="0" applyFont="1" applyFill="1" applyBorder="1" applyAlignment="1" applyProtection="1">
      <alignment horizontal="left"/>
    </xf>
    <xf numFmtId="0" fontId="13" fillId="10" borderId="25" xfId="0" applyFont="1" applyFill="1" applyBorder="1" applyAlignment="1" applyProtection="1">
      <protection locked="0"/>
    </xf>
    <xf numFmtId="0" fontId="12" fillId="10" borderId="25" xfId="0" applyFont="1" applyFill="1" applyBorder="1" applyProtection="1">
      <protection locked="0"/>
    </xf>
    <xf numFmtId="0" fontId="12" fillId="13" borderId="32" xfId="0" applyFont="1" applyFill="1" applyBorder="1" applyAlignment="1" applyProtection="1">
      <alignment horizontal="left" indent="1"/>
      <protection locked="0"/>
    </xf>
    <xf numFmtId="9" fontId="12" fillId="10" borderId="32" xfId="7" applyNumberFormat="1" applyFont="1" applyFill="1" applyBorder="1" applyAlignment="1" applyProtection="1">
      <alignment horizontal="left" indent="1"/>
    </xf>
    <xf numFmtId="0" fontId="49" fillId="8" borderId="0" xfId="0" applyFont="1" applyFill="1" applyProtection="1"/>
    <xf numFmtId="0" fontId="0" fillId="0" borderId="0" xfId="0" applyProtection="1"/>
    <xf numFmtId="0" fontId="0" fillId="8" borderId="0" xfId="0" applyFill="1" applyProtection="1"/>
    <xf numFmtId="49" fontId="0" fillId="0" borderId="0" xfId="0" applyNumberFormat="1" applyProtection="1"/>
    <xf numFmtId="49" fontId="0" fillId="8" borderId="0" xfId="0" applyNumberFormat="1" applyFill="1" applyProtection="1"/>
    <xf numFmtId="165" fontId="0" fillId="0" borderId="0" xfId="0" applyNumberFormat="1" applyProtection="1"/>
    <xf numFmtId="165" fontId="0" fillId="8" borderId="0" xfId="0" applyNumberFormat="1" applyFill="1" applyProtection="1"/>
    <xf numFmtId="0" fontId="0" fillId="0" borderId="0" xfId="0" applyAlignment="1" applyProtection="1">
      <alignment wrapText="1"/>
    </xf>
    <xf numFmtId="0" fontId="12" fillId="0" borderId="7" xfId="0" applyFont="1" applyFill="1" applyBorder="1" applyAlignment="1" applyProtection="1">
      <alignment wrapText="1"/>
      <protection locked="0"/>
    </xf>
    <xf numFmtId="0" fontId="44" fillId="0" borderId="1" xfId="0" applyFont="1" applyBorder="1" applyAlignment="1">
      <alignment horizontal="left" vertical="center" wrapText="1" indent="1"/>
    </xf>
    <xf numFmtId="0" fontId="49" fillId="8" borderId="24" xfId="0" applyFont="1" applyFill="1" applyBorder="1" applyProtection="1"/>
    <xf numFmtId="0" fontId="49" fillId="8" borderId="25" xfId="0" applyFont="1" applyFill="1" applyBorder="1" applyProtection="1"/>
    <xf numFmtId="165" fontId="49" fillId="8" borderId="26" xfId="0" applyNumberFormat="1" applyFont="1" applyFill="1" applyBorder="1" applyProtection="1"/>
    <xf numFmtId="164" fontId="11" fillId="2" borderId="1" xfId="0" applyNumberFormat="1" applyFont="1" applyFill="1" applyBorder="1" applyAlignment="1" applyProtection="1">
      <alignment horizontal="center" vertical="center" wrapText="1"/>
    </xf>
    <xf numFmtId="0" fontId="11" fillId="2" borderId="1" xfId="0" applyFont="1" applyFill="1" applyBorder="1" applyAlignment="1" applyProtection="1">
      <alignment horizontal="center" vertical="center" wrapText="1"/>
    </xf>
    <xf numFmtId="0" fontId="12" fillId="0" borderId="0" xfId="4" applyFont="1" applyFill="1" applyBorder="1" applyAlignment="1" applyProtection="1">
      <alignment horizontal="left" vertical="center" wrapText="1" indent="1"/>
      <protection locked="0"/>
    </xf>
    <xf numFmtId="164" fontId="12" fillId="0" borderId="0" xfId="0" applyNumberFormat="1" applyFont="1" applyBorder="1" applyAlignment="1" applyProtection="1">
      <alignment horizontal="right" vertical="center" wrapText="1" indent="1"/>
      <protection locked="0"/>
    </xf>
    <xf numFmtId="0" fontId="12" fillId="0" borderId="0" xfId="0" applyFont="1" applyFill="1" applyBorder="1" applyAlignment="1" applyProtection="1">
      <alignment wrapText="1"/>
      <protection locked="0"/>
    </xf>
    <xf numFmtId="0" fontId="12" fillId="0" borderId="69" xfId="0" applyFont="1" applyBorder="1" applyAlignment="1" applyProtection="1">
      <alignment wrapText="1"/>
      <protection locked="0"/>
    </xf>
    <xf numFmtId="0" fontId="27" fillId="0" borderId="69" xfId="0" applyFont="1" applyFill="1" applyBorder="1" applyAlignment="1" applyProtection="1">
      <alignment horizontal="left" vertical="center" wrapText="1" indent="1"/>
      <protection locked="0"/>
    </xf>
    <xf numFmtId="164" fontId="27" fillId="0" borderId="69" xfId="0" applyNumberFormat="1" applyFont="1" applyFill="1" applyBorder="1" applyAlignment="1" applyProtection="1">
      <alignment horizontal="right" vertical="center" wrapText="1" indent="1"/>
      <protection locked="0"/>
    </xf>
    <xf numFmtId="166" fontId="13" fillId="10" borderId="83" xfId="0" applyNumberFormat="1" applyFont="1" applyFill="1" applyBorder="1" applyAlignment="1" applyProtection="1">
      <alignment horizontal="center" vertical="center" wrapText="1"/>
    </xf>
    <xf numFmtId="165" fontId="12" fillId="0" borderId="1" xfId="1" applyNumberFormat="1" applyFont="1" applyFill="1" applyBorder="1" applyAlignment="1" applyProtection="1">
      <alignment horizontal="center" vertical="center" wrapText="1"/>
      <protection locked="0"/>
    </xf>
    <xf numFmtId="165" fontId="12" fillId="0" borderId="4" xfId="1" applyNumberFormat="1" applyFont="1" applyFill="1" applyBorder="1" applyAlignment="1" applyProtection="1">
      <alignment horizontal="center" vertical="center" wrapText="1"/>
      <protection locked="0"/>
    </xf>
    <xf numFmtId="165" fontId="12" fillId="0" borderId="16" xfId="1" applyNumberFormat="1" applyFont="1" applyFill="1" applyBorder="1" applyAlignment="1" applyProtection="1">
      <alignment horizontal="center" vertical="center" wrapText="1"/>
      <protection locked="0"/>
    </xf>
    <xf numFmtId="165" fontId="12" fillId="0" borderId="5" xfId="1" applyNumberFormat="1" applyFont="1" applyFill="1" applyBorder="1" applyAlignment="1" applyProtection="1">
      <alignment horizontal="center" vertical="center" wrapText="1"/>
      <protection locked="0"/>
    </xf>
    <xf numFmtId="165" fontId="12" fillId="0" borderId="16" xfId="0" applyNumberFormat="1" applyFont="1" applyBorder="1" applyAlignment="1" applyProtection="1">
      <alignment horizontal="center" vertical="center" wrapText="1"/>
    </xf>
    <xf numFmtId="165" fontId="13" fillId="6" borderId="52" xfId="0" applyNumberFormat="1" applyFont="1" applyFill="1" applyBorder="1" applyAlignment="1" applyProtection="1">
      <alignment horizontal="center" vertical="center" wrapText="1"/>
    </xf>
    <xf numFmtId="165" fontId="13" fillId="10" borderId="52" xfId="0" applyNumberFormat="1" applyFont="1" applyFill="1" applyBorder="1" applyAlignment="1" applyProtection="1">
      <alignment horizontal="center" vertical="center" wrapText="1"/>
    </xf>
    <xf numFmtId="165" fontId="12" fillId="0" borderId="35" xfId="0" applyNumberFormat="1" applyFont="1" applyBorder="1" applyAlignment="1" applyProtection="1">
      <alignment horizontal="center" vertical="center" wrapText="1"/>
    </xf>
    <xf numFmtId="0" fontId="17" fillId="11" borderId="25" xfId="0" applyFont="1" applyFill="1" applyBorder="1" applyAlignment="1" applyProtection="1">
      <alignment horizontal="left" vertical="center"/>
      <protection locked="0"/>
    </xf>
    <xf numFmtId="0" fontId="12" fillId="0" borderId="84" xfId="0" applyFont="1" applyBorder="1" applyAlignment="1" applyProtection="1">
      <alignment horizontal="left" wrapText="1" indent="1"/>
      <protection locked="0"/>
    </xf>
    <xf numFmtId="0" fontId="12" fillId="0" borderId="69" xfId="0" applyFont="1" applyBorder="1" applyAlignment="1" applyProtection="1">
      <alignment horizontal="left" wrapText="1" indent="1"/>
      <protection locked="0"/>
    </xf>
    <xf numFmtId="0" fontId="12" fillId="0" borderId="69" xfId="0" applyFont="1" applyBorder="1" applyAlignment="1" applyProtection="1">
      <alignment horizontal="left" vertical="center" wrapText="1" indent="1"/>
      <protection locked="0"/>
    </xf>
    <xf numFmtId="164" fontId="12" fillId="0" borderId="69" xfId="0" applyNumberFormat="1" applyFont="1" applyBorder="1" applyAlignment="1" applyProtection="1">
      <alignment horizontal="right" wrapText="1" indent="1"/>
      <protection locked="0"/>
    </xf>
    <xf numFmtId="0" fontId="12" fillId="0" borderId="69" xfId="0" applyFont="1" applyBorder="1" applyProtection="1">
      <protection locked="0"/>
    </xf>
    <xf numFmtId="0" fontId="12" fillId="10" borderId="23" xfId="0" applyFont="1" applyFill="1" applyBorder="1" applyProtection="1">
      <protection locked="0"/>
    </xf>
    <xf numFmtId="9" fontId="12" fillId="10" borderId="23" xfId="0" applyNumberFormat="1" applyFont="1" applyFill="1" applyBorder="1" applyAlignment="1" applyProtection="1">
      <alignment horizontal="center"/>
      <protection locked="0"/>
    </xf>
    <xf numFmtId="167" fontId="12" fillId="10" borderId="23" xfId="0" applyNumberFormat="1" applyFont="1" applyFill="1" applyBorder="1" applyAlignment="1" applyProtection="1">
      <alignment horizontal="center"/>
      <protection locked="0"/>
    </xf>
    <xf numFmtId="9" fontId="12" fillId="10" borderId="75" xfId="0" applyNumberFormat="1" applyFont="1" applyFill="1" applyBorder="1" applyAlignment="1" applyProtection="1">
      <alignment horizontal="center"/>
      <protection locked="0"/>
    </xf>
    <xf numFmtId="0" fontId="12" fillId="3" borderId="0" xfId="1" applyNumberFormat="1" applyFont="1" applyFill="1" applyBorder="1" applyAlignment="1" applyProtection="1">
      <alignment horizontal="left" vertical="center" wrapText="1"/>
    </xf>
    <xf numFmtId="0" fontId="13" fillId="3" borderId="19" xfId="0" applyFont="1" applyFill="1" applyBorder="1" applyProtection="1"/>
    <xf numFmtId="0" fontId="12" fillId="3" borderId="55" xfId="0" applyFont="1" applyFill="1" applyBorder="1" applyProtection="1"/>
    <xf numFmtId="0" fontId="13" fillId="3" borderId="22" xfId="0" applyFont="1" applyFill="1" applyBorder="1" applyProtection="1"/>
    <xf numFmtId="0" fontId="13" fillId="3" borderId="24" xfId="0" applyFont="1" applyFill="1" applyBorder="1" applyProtection="1"/>
    <xf numFmtId="0" fontId="13" fillId="3" borderId="25" xfId="0" applyFont="1" applyFill="1" applyBorder="1" applyProtection="1"/>
    <xf numFmtId="165" fontId="12" fillId="0" borderId="6" xfId="1" applyNumberFormat="1" applyFont="1" applyFill="1" applyBorder="1" applyAlignment="1" applyProtection="1">
      <alignment horizontal="center" vertical="center" wrapText="1"/>
      <protection locked="0"/>
    </xf>
    <xf numFmtId="165" fontId="12" fillId="0" borderId="4" xfId="0" applyNumberFormat="1" applyFont="1" applyFill="1" applyBorder="1" applyAlignment="1" applyProtection="1">
      <alignment horizontal="center" vertical="center" wrapText="1"/>
      <protection locked="0"/>
    </xf>
    <xf numFmtId="0" fontId="13" fillId="0" borderId="1" xfId="0" applyFont="1" applyBorder="1" applyAlignment="1" applyProtection="1">
      <alignment horizontal="center" wrapText="1"/>
    </xf>
    <xf numFmtId="0" fontId="44" fillId="0" borderId="2" xfId="1" applyNumberFormat="1" applyFont="1" applyFill="1" applyBorder="1" applyAlignment="1" applyProtection="1">
      <alignment horizontal="left" vertical="center" wrapText="1" indent="1"/>
    </xf>
    <xf numFmtId="0" fontId="14" fillId="0" borderId="0" xfId="0" applyFont="1" applyProtection="1"/>
    <xf numFmtId="0" fontId="44" fillId="0" borderId="4" xfId="1" applyNumberFormat="1" applyFont="1" applyFill="1" applyBorder="1" applyAlignment="1" applyProtection="1">
      <alignment horizontal="left" vertical="center" wrapText="1" indent="1"/>
    </xf>
    <xf numFmtId="0" fontId="12" fillId="0" borderId="14" xfId="0" applyFont="1" applyBorder="1" applyAlignment="1" applyProtection="1">
      <alignment horizontal="center" wrapText="1"/>
    </xf>
    <xf numFmtId="0" fontId="44" fillId="0" borderId="14" xfId="1" applyNumberFormat="1" applyFont="1" applyFill="1" applyBorder="1" applyAlignment="1" applyProtection="1">
      <alignment horizontal="left" vertical="center" wrapText="1" indent="1"/>
    </xf>
    <xf numFmtId="0" fontId="12" fillId="0" borderId="4" xfId="0" applyFont="1" applyBorder="1" applyAlignment="1" applyProtection="1">
      <alignment horizontal="center" wrapText="1"/>
    </xf>
    <xf numFmtId="0" fontId="13" fillId="0" borderId="35" xfId="0" applyFont="1" applyBorder="1" applyAlignment="1" applyProtection="1">
      <alignment horizontal="center" wrapText="1"/>
    </xf>
    <xf numFmtId="0" fontId="44" fillId="0" borderId="35" xfId="1" applyNumberFormat="1" applyFont="1" applyFill="1" applyBorder="1" applyAlignment="1" applyProtection="1">
      <alignment horizontal="left" vertical="center" wrapText="1" indent="1"/>
    </xf>
    <xf numFmtId="0" fontId="44" fillId="0" borderId="1" xfId="1" applyNumberFormat="1" applyFont="1" applyFill="1" applyBorder="1" applyAlignment="1" applyProtection="1">
      <alignment horizontal="left" vertical="center" wrapText="1" indent="1"/>
    </xf>
    <xf numFmtId="0" fontId="13" fillId="0" borderId="30" xfId="0" applyFont="1" applyBorder="1" applyAlignment="1" applyProtection="1">
      <alignment horizontal="center" wrapText="1"/>
    </xf>
    <xf numFmtId="0" fontId="44" fillId="0" borderId="30" xfId="1" applyNumberFormat="1" applyFont="1" applyFill="1" applyBorder="1" applyAlignment="1" applyProtection="1">
      <alignment horizontal="left" vertical="center" wrapText="1" indent="1"/>
    </xf>
    <xf numFmtId="0" fontId="13" fillId="0" borderId="7" xfId="0" applyFont="1" applyBorder="1" applyAlignment="1" applyProtection="1">
      <alignment horizontal="center" wrapText="1"/>
    </xf>
    <xf numFmtId="0" fontId="15" fillId="0" borderId="7" xfId="0" applyFont="1" applyBorder="1" applyAlignment="1" applyProtection="1">
      <alignment horizontal="center" wrapText="1"/>
    </xf>
    <xf numFmtId="0" fontId="13" fillId="6" borderId="44" xfId="0" applyFont="1" applyFill="1" applyBorder="1" applyAlignment="1" applyProtection="1">
      <alignment horizontal="left" vertical="center"/>
    </xf>
    <xf numFmtId="0" fontId="11" fillId="2" borderId="6" xfId="0" applyFont="1" applyFill="1" applyBorder="1" applyAlignment="1" applyProtection="1">
      <alignment horizontal="center" vertical="center" wrapText="1"/>
    </xf>
    <xf numFmtId="164" fontId="13" fillId="6" borderId="44" xfId="1" applyNumberFormat="1" applyFont="1" applyFill="1" applyBorder="1" applyAlignment="1" applyProtection="1">
      <alignment horizontal="center" vertical="center" wrapText="1"/>
    </xf>
    <xf numFmtId="0" fontId="11" fillId="2" borderId="6" xfId="0" applyFont="1" applyFill="1" applyBorder="1" applyAlignment="1" applyProtection="1">
      <alignment horizontal="left" vertical="center" wrapText="1" indent="1"/>
    </xf>
    <xf numFmtId="0" fontId="12" fillId="3" borderId="6" xfId="1" applyNumberFormat="1" applyFont="1" applyFill="1" applyBorder="1" applyAlignment="1" applyProtection="1">
      <alignment horizontal="left" vertical="center" wrapText="1" indent="1"/>
    </xf>
    <xf numFmtId="0" fontId="12" fillId="3" borderId="1" xfId="1" applyNumberFormat="1" applyFont="1" applyFill="1" applyBorder="1" applyAlignment="1" applyProtection="1">
      <alignment horizontal="left" vertical="center" wrapText="1" indent="1"/>
    </xf>
    <xf numFmtId="0" fontId="12" fillId="3" borderId="40" xfId="1" applyNumberFormat="1" applyFont="1" applyFill="1" applyBorder="1" applyAlignment="1" applyProtection="1">
      <alignment horizontal="left" vertical="center" wrapText="1" indent="1"/>
    </xf>
    <xf numFmtId="0" fontId="12" fillId="3" borderId="35" xfId="1" applyNumberFormat="1" applyFont="1" applyFill="1" applyBorder="1" applyAlignment="1" applyProtection="1">
      <alignment horizontal="left" vertical="center" wrapText="1" indent="1"/>
    </xf>
    <xf numFmtId="0" fontId="15" fillId="3" borderId="42" xfId="0" applyFont="1" applyFill="1" applyBorder="1" applyAlignment="1" applyProtection="1">
      <alignment horizontal="left" vertical="center" wrapText="1"/>
    </xf>
    <xf numFmtId="0" fontId="13" fillId="3" borderId="42" xfId="0" applyFont="1" applyFill="1" applyBorder="1" applyAlignment="1" applyProtection="1">
      <alignment wrapText="1"/>
    </xf>
    <xf numFmtId="0" fontId="12" fillId="0" borderId="4" xfId="0" applyFont="1" applyBorder="1" applyAlignment="1" applyProtection="1">
      <alignment vertical="center" wrapText="1"/>
    </xf>
    <xf numFmtId="0" fontId="12" fillId="0" borderId="2" xfId="1" applyNumberFormat="1" applyFont="1" applyFill="1" applyBorder="1" applyAlignment="1" applyProtection="1">
      <alignment horizontal="left" vertical="center" wrapText="1" indent="1"/>
    </xf>
    <xf numFmtId="0" fontId="19" fillId="0" borderId="0" xfId="0" applyFont="1" applyBorder="1" applyAlignment="1" applyProtection="1">
      <alignment vertical="center"/>
    </xf>
    <xf numFmtId="0" fontId="50" fillId="0" borderId="32" xfId="0" applyFont="1" applyBorder="1" applyAlignment="1" applyProtection="1">
      <alignment horizontal="center" vertical="center" wrapText="1"/>
    </xf>
    <xf numFmtId="49" fontId="23" fillId="0" borderId="1" xfId="1" applyNumberFormat="1" applyFont="1" applyFill="1" applyBorder="1" applyAlignment="1" applyProtection="1">
      <alignment horizontal="left" vertical="center" indent="1"/>
    </xf>
    <xf numFmtId="49" fontId="22" fillId="0" borderId="1" xfId="1" applyNumberFormat="1" applyFont="1" applyFill="1" applyBorder="1" applyAlignment="1" applyProtection="1">
      <alignment horizontal="left" vertical="center" indent="1"/>
    </xf>
    <xf numFmtId="0" fontId="12" fillId="0" borderId="6" xfId="0" applyFont="1" applyBorder="1" applyAlignment="1" applyProtection="1">
      <alignment vertical="center" wrapText="1"/>
    </xf>
    <xf numFmtId="0" fontId="12" fillId="0" borderId="18" xfId="1" applyNumberFormat="1" applyFont="1" applyFill="1" applyBorder="1" applyAlignment="1" applyProtection="1">
      <alignment horizontal="left" vertical="center" wrapText="1" indent="1"/>
    </xf>
    <xf numFmtId="49" fontId="23" fillId="0" borderId="1" xfId="1" applyNumberFormat="1" applyFont="1" applyFill="1" applyBorder="1" applyAlignment="1" applyProtection="1">
      <alignment horizontal="left" vertical="center" wrapText="1" indent="1"/>
    </xf>
    <xf numFmtId="49" fontId="12" fillId="0" borderId="1" xfId="1" applyNumberFormat="1" applyFont="1" applyFill="1" applyBorder="1" applyAlignment="1" applyProtection="1">
      <alignment horizontal="left" vertical="center" indent="1"/>
    </xf>
    <xf numFmtId="0" fontId="22" fillId="0" borderId="1" xfId="1" applyNumberFormat="1" applyFont="1" applyFill="1" applyBorder="1" applyAlignment="1" applyProtection="1">
      <alignment horizontal="left" vertical="center" wrapText="1" indent="1"/>
    </xf>
    <xf numFmtId="0" fontId="13" fillId="6" borderId="69" xfId="1" applyNumberFormat="1" applyFont="1" applyFill="1" applyBorder="1" applyAlignment="1" applyProtection="1">
      <alignment horizontal="center" vertical="center" wrapText="1"/>
    </xf>
    <xf numFmtId="0" fontId="13" fillId="6" borderId="5" xfId="1" applyNumberFormat="1" applyFont="1" applyFill="1" applyBorder="1" applyAlignment="1" applyProtection="1">
      <alignment horizontal="center" vertical="center" wrapText="1"/>
    </xf>
    <xf numFmtId="0" fontId="23" fillId="6" borderId="5" xfId="1" applyNumberFormat="1" applyFont="1" applyFill="1" applyBorder="1" applyAlignment="1" applyProtection="1">
      <alignment horizontal="center" vertical="center" wrapText="1"/>
    </xf>
    <xf numFmtId="0" fontId="13" fillId="6" borderId="1" xfId="1" applyNumberFormat="1" applyFont="1" applyFill="1" applyBorder="1" applyAlignment="1" applyProtection="1">
      <alignment horizontal="center" vertical="center" wrapText="1"/>
    </xf>
    <xf numFmtId="0" fontId="23" fillId="6" borderId="1" xfId="1" applyNumberFormat="1" applyFont="1" applyFill="1" applyBorder="1" applyAlignment="1" applyProtection="1">
      <alignment horizontal="center" vertical="center" wrapText="1"/>
    </xf>
    <xf numFmtId="0" fontId="13" fillId="6" borderId="4" xfId="1" applyNumberFormat="1" applyFont="1" applyFill="1" applyBorder="1" applyAlignment="1" applyProtection="1">
      <alignment horizontal="center" vertical="center" wrapText="1"/>
    </xf>
    <xf numFmtId="0" fontId="23" fillId="6" borderId="4" xfId="1" applyNumberFormat="1" applyFont="1" applyFill="1" applyBorder="1" applyAlignment="1" applyProtection="1">
      <alignment horizontal="center" vertical="center" wrapText="1"/>
    </xf>
    <xf numFmtId="0" fontId="13" fillId="11" borderId="66" xfId="1" applyNumberFormat="1" applyFont="1" applyFill="1" applyBorder="1" applyAlignment="1" applyProtection="1">
      <alignment horizontal="center" vertical="center" wrapText="1"/>
    </xf>
    <xf numFmtId="0" fontId="18" fillId="11" borderId="66" xfId="1" applyNumberFormat="1" applyFont="1" applyFill="1" applyBorder="1" applyAlignment="1" applyProtection="1">
      <alignment horizontal="center" vertical="center" wrapText="1"/>
    </xf>
    <xf numFmtId="0" fontId="12" fillId="0" borderId="1" xfId="0" applyFont="1" applyBorder="1" applyAlignment="1" applyProtection="1">
      <alignment horizontal="left" wrapText="1"/>
    </xf>
    <xf numFmtId="0" fontId="13" fillId="6" borderId="72" xfId="1" applyNumberFormat="1" applyFont="1" applyFill="1" applyBorder="1" applyAlignment="1" applyProtection="1">
      <alignment horizontal="center" vertical="center" wrapText="1"/>
    </xf>
    <xf numFmtId="0" fontId="13" fillId="6" borderId="68" xfId="1" applyNumberFormat="1" applyFont="1" applyFill="1" applyBorder="1" applyAlignment="1" applyProtection="1">
      <alignment horizontal="center" vertical="center" wrapText="1"/>
    </xf>
    <xf numFmtId="0" fontId="13" fillId="6" borderId="70" xfId="1" applyNumberFormat="1" applyFont="1" applyFill="1" applyBorder="1" applyAlignment="1" applyProtection="1">
      <alignment horizontal="center" vertical="center" wrapText="1"/>
    </xf>
    <xf numFmtId="0" fontId="13" fillId="6" borderId="61" xfId="1" applyNumberFormat="1" applyFont="1" applyFill="1" applyBorder="1" applyAlignment="1" applyProtection="1">
      <alignment horizontal="center" vertical="center" wrapText="1"/>
    </xf>
    <xf numFmtId="0" fontId="13" fillId="6" borderId="63" xfId="1" applyNumberFormat="1" applyFont="1" applyFill="1" applyBorder="1" applyAlignment="1" applyProtection="1">
      <alignment horizontal="center" vertical="center" wrapText="1"/>
    </xf>
    <xf numFmtId="0" fontId="13" fillId="11" borderId="65" xfId="1" applyNumberFormat="1" applyFont="1" applyFill="1" applyBorder="1" applyAlignment="1" applyProtection="1">
      <alignment horizontal="center" vertical="center" wrapText="1"/>
    </xf>
    <xf numFmtId="164" fontId="11" fillId="2" borderId="1" xfId="0" applyNumberFormat="1" applyFont="1" applyFill="1" applyBorder="1" applyAlignment="1" applyProtection="1">
      <alignment horizontal="center" vertical="center" wrapText="1"/>
      <protection locked="0"/>
    </xf>
    <xf numFmtId="3" fontId="13" fillId="10" borderId="18" xfId="0" applyNumberFormat="1" applyFont="1" applyFill="1" applyBorder="1" applyAlignment="1" applyProtection="1">
      <alignment horizontal="left" vertical="center" wrapText="1"/>
    </xf>
    <xf numFmtId="0" fontId="13" fillId="0" borderId="1" xfId="1" applyNumberFormat="1" applyFont="1" applyFill="1" applyBorder="1" applyAlignment="1" applyProtection="1">
      <alignment horizontal="left" vertical="center" wrapText="1" indent="1"/>
    </xf>
    <xf numFmtId="0" fontId="12" fillId="0" borderId="4" xfId="0" applyFont="1" applyBorder="1" applyAlignment="1" applyProtection="1">
      <alignment wrapText="1"/>
    </xf>
    <xf numFmtId="164" fontId="11" fillId="2" borderId="6" xfId="0" applyNumberFormat="1" applyFont="1" applyFill="1" applyBorder="1" applyAlignment="1" applyProtection="1">
      <alignment horizontal="center" vertical="center" wrapText="1"/>
      <protection locked="0"/>
    </xf>
    <xf numFmtId="164" fontId="11" fillId="2" borderId="7" xfId="0" applyNumberFormat="1" applyFont="1" applyFill="1" applyBorder="1" applyAlignment="1" applyProtection="1">
      <alignment horizontal="center" vertical="center" wrapText="1"/>
      <protection locked="0"/>
    </xf>
    <xf numFmtId="0" fontId="11" fillId="2" borderId="7" xfId="0" applyFont="1" applyFill="1" applyBorder="1" applyAlignment="1" applyProtection="1">
      <alignment horizontal="center" vertical="center" wrapText="1"/>
      <protection locked="0"/>
    </xf>
    <xf numFmtId="0" fontId="11" fillId="2" borderId="6" xfId="0" applyFont="1" applyFill="1" applyBorder="1" applyAlignment="1" applyProtection="1">
      <alignment horizontal="left" vertical="center" wrapText="1"/>
    </xf>
    <xf numFmtId="0" fontId="13" fillId="0" borderId="1" xfId="0" applyFont="1" applyBorder="1" applyAlignment="1" applyProtection="1">
      <alignment horizontal="center" vertical="center" wrapText="1"/>
    </xf>
    <xf numFmtId="49" fontId="12" fillId="0" borderId="1" xfId="0" applyNumberFormat="1" applyFont="1" applyBorder="1" applyAlignment="1" applyProtection="1">
      <alignment vertical="center" wrapText="1"/>
    </xf>
    <xf numFmtId="49" fontId="12" fillId="0" borderId="4" xfId="0" applyNumberFormat="1" applyFont="1" applyBorder="1" applyAlignment="1" applyProtection="1">
      <alignment vertical="center" wrapText="1"/>
    </xf>
    <xf numFmtId="0" fontId="13" fillId="0" borderId="16" xfId="0" applyFont="1" applyBorder="1" applyAlignment="1" applyProtection="1">
      <alignment horizontal="center" vertical="center" wrapText="1"/>
    </xf>
    <xf numFmtId="49" fontId="12" fillId="0" borderId="16" xfId="0" applyNumberFormat="1" applyFont="1" applyBorder="1" applyAlignment="1" applyProtection="1">
      <alignment vertical="center" wrapText="1"/>
    </xf>
    <xf numFmtId="49" fontId="12" fillId="0" borderId="16" xfId="1" applyNumberFormat="1" applyFont="1" applyFill="1" applyBorder="1" applyAlignment="1" applyProtection="1">
      <alignment horizontal="left" vertical="center" wrapText="1" indent="1"/>
    </xf>
    <xf numFmtId="0" fontId="12" fillId="0" borderId="16" xfId="1" applyNumberFormat="1" applyFont="1" applyFill="1" applyBorder="1" applyAlignment="1" applyProtection="1">
      <alignment horizontal="left" vertical="center" wrapText="1" indent="1"/>
    </xf>
    <xf numFmtId="0" fontId="13" fillId="0" borderId="5" xfId="0" applyFont="1" applyBorder="1" applyAlignment="1" applyProtection="1">
      <alignment horizontal="center" vertical="center" wrapText="1"/>
    </xf>
    <xf numFmtId="49" fontId="12" fillId="0" borderId="5" xfId="0" applyNumberFormat="1" applyFont="1" applyBorder="1" applyAlignment="1" applyProtection="1">
      <alignment vertical="center" wrapText="1"/>
    </xf>
    <xf numFmtId="49" fontId="26" fillId="0" borderId="1" xfId="0" applyNumberFormat="1" applyFont="1" applyBorder="1" applyAlignment="1" applyProtection="1">
      <alignment vertical="center" wrapText="1"/>
    </xf>
    <xf numFmtId="49" fontId="26" fillId="0" borderId="4" xfId="0" applyNumberFormat="1" applyFont="1" applyBorder="1" applyAlignment="1" applyProtection="1">
      <alignment vertical="center" wrapText="1"/>
    </xf>
    <xf numFmtId="49" fontId="26" fillId="0" borderId="5" xfId="0" applyNumberFormat="1" applyFont="1" applyBorder="1" applyAlignment="1" applyProtection="1">
      <alignment vertical="center" wrapText="1"/>
    </xf>
    <xf numFmtId="49" fontId="12" fillId="0" borderId="53" xfId="1" applyNumberFormat="1" applyFont="1" applyFill="1" applyBorder="1" applyAlignment="1" applyProtection="1">
      <alignment horizontal="left" vertical="center" wrapText="1" indent="1"/>
    </xf>
    <xf numFmtId="49" fontId="26" fillId="0" borderId="16" xfId="0" applyNumberFormat="1" applyFont="1" applyBorder="1" applyAlignment="1" applyProtection="1">
      <alignment vertical="center" wrapText="1"/>
    </xf>
    <xf numFmtId="0" fontId="11" fillId="2" borderId="7" xfId="0" applyFont="1" applyFill="1" applyBorder="1" applyAlignment="1" applyProtection="1">
      <alignment horizontal="left" vertical="center" wrapText="1"/>
    </xf>
    <xf numFmtId="0" fontId="11" fillId="2" borderId="7" xfId="0" applyFont="1" applyFill="1" applyBorder="1" applyAlignment="1" applyProtection="1">
      <alignment horizontal="left" vertical="center" wrapText="1" indent="1"/>
    </xf>
    <xf numFmtId="0" fontId="11" fillId="2" borderId="7" xfId="0" applyFont="1" applyFill="1" applyBorder="1" applyAlignment="1" applyProtection="1">
      <alignment horizontal="center" vertical="center" wrapText="1"/>
    </xf>
    <xf numFmtId="0" fontId="11" fillId="3" borderId="6" xfId="0" applyFont="1" applyFill="1" applyBorder="1" applyAlignment="1" applyProtection="1">
      <alignment horizontal="left" vertical="center" wrapText="1"/>
    </xf>
    <xf numFmtId="0" fontId="11" fillId="3" borderId="6" xfId="0" applyFont="1" applyFill="1" applyBorder="1" applyAlignment="1" applyProtection="1">
      <alignment horizontal="left" vertical="center" wrapText="1" indent="1"/>
    </xf>
    <xf numFmtId="0" fontId="10" fillId="3" borderId="0" xfId="0" applyFont="1" applyFill="1" applyBorder="1" applyAlignment="1" applyProtection="1">
      <alignment vertical="center"/>
    </xf>
    <xf numFmtId="0" fontId="11" fillId="3" borderId="0" xfId="0" applyFont="1" applyFill="1" applyBorder="1" applyAlignment="1" applyProtection="1">
      <alignment horizontal="left" vertical="center" wrapText="1"/>
    </xf>
    <xf numFmtId="0" fontId="13" fillId="0" borderId="34" xfId="1" applyNumberFormat="1" applyFont="1" applyFill="1" applyBorder="1" applyAlignment="1" applyProtection="1">
      <alignment horizontal="left" vertical="center" wrapText="1" indent="1"/>
    </xf>
    <xf numFmtId="0" fontId="12" fillId="0" borderId="0" xfId="0" applyFont="1" applyBorder="1" applyAlignment="1" applyProtection="1">
      <alignment horizontal="left" vertical="center" wrapText="1" indent="1"/>
    </xf>
    <xf numFmtId="0" fontId="28" fillId="6" borderId="24" xfId="0" applyFont="1" applyFill="1" applyBorder="1" applyAlignment="1" applyProtection="1">
      <alignment horizontal="center" vertical="center"/>
    </xf>
    <xf numFmtId="0" fontId="13" fillId="0" borderId="33" xfId="1" applyNumberFormat="1" applyFont="1" applyFill="1" applyBorder="1" applyAlignment="1" applyProtection="1">
      <alignment horizontal="left" vertical="center" wrapText="1" indent="1"/>
    </xf>
    <xf numFmtId="0" fontId="12" fillId="0" borderId="60" xfId="0" applyFont="1" applyBorder="1" applyAlignment="1" applyProtection="1">
      <alignment horizontal="left" vertical="center" wrapText="1" indent="1"/>
    </xf>
    <xf numFmtId="165" fontId="12" fillId="0" borderId="3" xfId="1" applyNumberFormat="1" applyFont="1" applyFill="1" applyBorder="1" applyAlignment="1" applyProtection="1">
      <alignment horizontal="center" vertical="center" wrapText="1"/>
      <protection locked="0"/>
    </xf>
    <xf numFmtId="0" fontId="13" fillId="0" borderId="33" xfId="1" applyNumberFormat="1" applyFont="1" applyFill="1" applyBorder="1" applyAlignment="1" applyProtection="1">
      <alignment horizontal="left" vertical="center" indent="1"/>
    </xf>
    <xf numFmtId="0" fontId="12" fillId="4" borderId="3" xfId="0" applyFont="1" applyFill="1" applyBorder="1" applyAlignment="1" applyProtection="1">
      <alignment horizontal="left" vertical="center" wrapText="1" indent="1"/>
    </xf>
    <xf numFmtId="0" fontId="12" fillId="4" borderId="1" xfId="0" applyFont="1" applyFill="1" applyBorder="1" applyAlignment="1" applyProtection="1">
      <alignment wrapText="1"/>
    </xf>
    <xf numFmtId="164" fontId="11" fillId="2" borderId="35" xfId="0" applyNumberFormat="1" applyFont="1" applyFill="1" applyBorder="1" applyAlignment="1" applyProtection="1">
      <alignment horizontal="center" vertical="center" wrapText="1"/>
    </xf>
    <xf numFmtId="0" fontId="11" fillId="2" borderId="36" xfId="0" applyFont="1" applyFill="1" applyBorder="1" applyAlignment="1" applyProtection="1">
      <alignment horizontal="center" vertical="center" wrapText="1"/>
    </xf>
    <xf numFmtId="166" fontId="12" fillId="0" borderId="1" xfId="1" applyNumberFormat="1" applyFont="1" applyFill="1" applyBorder="1" applyAlignment="1" applyProtection="1">
      <alignment horizontal="center" vertical="center" wrapText="1"/>
      <protection locked="0"/>
    </xf>
    <xf numFmtId="166" fontId="12" fillId="0" borderId="3" xfId="1" applyNumberFormat="1" applyFont="1" applyFill="1" applyBorder="1" applyAlignment="1" applyProtection="1">
      <alignment horizontal="center" vertical="center" wrapText="1"/>
      <protection locked="0"/>
    </xf>
    <xf numFmtId="164" fontId="12" fillId="0" borderId="1" xfId="0" applyNumberFormat="1" applyFont="1" applyBorder="1" applyAlignment="1" applyProtection="1">
      <alignment horizontal="center" vertical="center" wrapText="1"/>
      <protection locked="0"/>
    </xf>
    <xf numFmtId="164" fontId="12" fillId="0" borderId="5" xfId="4" applyNumberFormat="1" applyFont="1" applyBorder="1" applyAlignment="1" applyProtection="1">
      <alignment horizontal="center" vertical="center" wrapText="1"/>
      <protection locked="0"/>
    </xf>
    <xf numFmtId="164" fontId="12" fillId="0" borderId="1" xfId="4" applyNumberFormat="1" applyFont="1" applyBorder="1" applyAlignment="1" applyProtection="1">
      <alignment horizontal="center" vertical="center" wrapText="1"/>
      <protection locked="0"/>
    </xf>
    <xf numFmtId="164" fontId="12" fillId="0" borderId="4" xfId="4" applyNumberFormat="1" applyFont="1" applyBorder="1" applyAlignment="1" applyProtection="1">
      <alignment horizontal="center" vertical="center" wrapText="1"/>
      <protection locked="0"/>
    </xf>
    <xf numFmtId="164" fontId="12" fillId="0" borderId="5" xfId="0" applyNumberFormat="1" applyFont="1" applyBorder="1" applyAlignment="1" applyProtection="1">
      <alignment horizontal="center" vertical="center" wrapText="1"/>
      <protection locked="0"/>
    </xf>
    <xf numFmtId="164" fontId="12" fillId="0" borderId="4" xfId="0" applyNumberFormat="1" applyFont="1" applyBorder="1" applyAlignment="1" applyProtection="1">
      <alignment horizontal="center" vertical="center" wrapText="1"/>
      <protection locked="0"/>
    </xf>
    <xf numFmtId="164" fontId="12" fillId="0" borderId="7" xfId="0" applyNumberFormat="1" applyFont="1" applyBorder="1" applyAlignment="1" applyProtection="1">
      <alignment horizontal="center" vertical="center" wrapText="1"/>
      <protection locked="0"/>
    </xf>
    <xf numFmtId="49" fontId="12" fillId="0" borderId="1" xfId="6" applyNumberFormat="1" applyFont="1" applyFill="1" applyBorder="1" applyAlignment="1" applyProtection="1">
      <alignment horizontal="left" vertical="center" wrapText="1" indent="1"/>
    </xf>
    <xf numFmtId="0" fontId="12" fillId="0" borderId="5" xfId="4" applyFont="1" applyFill="1" applyBorder="1" applyAlignment="1" applyProtection="1">
      <alignment horizontal="left" vertical="center" wrapText="1" indent="1"/>
    </xf>
    <xf numFmtId="49" fontId="12" fillId="0" borderId="5" xfId="6" applyNumberFormat="1" applyFont="1" applyFill="1" applyBorder="1" applyAlignment="1" applyProtection="1">
      <alignment horizontal="left" vertical="center" wrapText="1" indent="1"/>
    </xf>
    <xf numFmtId="0" fontId="12" fillId="0" borderId="1" xfId="4" applyFont="1" applyFill="1" applyBorder="1" applyAlignment="1" applyProtection="1">
      <alignment horizontal="left" vertical="center" wrapText="1" indent="1"/>
    </xf>
    <xf numFmtId="0" fontId="27" fillId="0" borderId="1" xfId="4" applyFont="1" applyFill="1" applyBorder="1" applyAlignment="1" applyProtection="1">
      <alignment horizontal="left" vertical="center" wrapText="1" indent="1"/>
    </xf>
    <xf numFmtId="0" fontId="13" fillId="0" borderId="5" xfId="0" applyFont="1" applyBorder="1" applyAlignment="1" applyProtection="1">
      <alignment horizontal="left" vertical="center" wrapText="1"/>
    </xf>
    <xf numFmtId="49" fontId="12" fillId="0" borderId="4" xfId="6" applyNumberFormat="1" applyFont="1" applyFill="1" applyBorder="1" applyAlignment="1" applyProtection="1">
      <alignment horizontal="left" vertical="center" wrapText="1" indent="1"/>
    </xf>
    <xf numFmtId="49" fontId="12" fillId="0" borderId="5" xfId="6" applyNumberFormat="1" applyFont="1" applyFill="1" applyBorder="1" applyAlignment="1" applyProtection="1">
      <alignment horizontal="left" vertical="top" wrapText="1" indent="1"/>
    </xf>
    <xf numFmtId="49" fontId="12" fillId="0" borderId="1" xfId="6" applyNumberFormat="1" applyFont="1" applyFill="1" applyBorder="1" applyAlignment="1" applyProtection="1">
      <alignment horizontal="left" vertical="top" wrapText="1" indent="1"/>
    </xf>
    <xf numFmtId="0" fontId="12" fillId="0" borderId="4" xfId="4" applyFont="1" applyFill="1" applyBorder="1" applyAlignment="1" applyProtection="1">
      <alignment horizontal="left" vertical="center" wrapText="1" indent="1"/>
    </xf>
    <xf numFmtId="49" fontId="12" fillId="0" borderId="4" xfId="6" applyNumberFormat="1" applyFont="1" applyFill="1" applyBorder="1" applyAlignment="1" applyProtection="1">
      <alignment horizontal="left" vertical="top" wrapText="1" indent="1"/>
    </xf>
    <xf numFmtId="0" fontId="13" fillId="0" borderId="5" xfId="0" applyFont="1" applyFill="1" applyBorder="1" applyAlignment="1" applyProtection="1">
      <alignment horizontal="center" vertical="center" wrapText="1"/>
    </xf>
    <xf numFmtId="0" fontId="12" fillId="0" borderId="5" xfId="0" applyFont="1" applyBorder="1" applyAlignment="1" applyProtection="1">
      <alignment horizontal="left" vertical="center" wrapText="1" indent="1"/>
    </xf>
    <xf numFmtId="0" fontId="12" fillId="0" borderId="1" xfId="0" applyFont="1" applyBorder="1" applyAlignment="1" applyProtection="1">
      <alignment horizontal="left" vertical="center" wrapText="1" indent="1"/>
    </xf>
    <xf numFmtId="0" fontId="11" fillId="3" borderId="0" xfId="0" applyFont="1" applyFill="1" applyBorder="1" applyAlignment="1" applyProtection="1">
      <alignment horizontal="left" vertical="center" wrapText="1" indent="1"/>
    </xf>
    <xf numFmtId="0" fontId="18" fillId="11" borderId="57" xfId="0" applyFont="1" applyFill="1" applyBorder="1" applyAlignment="1" applyProtection="1">
      <alignment vertical="center"/>
    </xf>
    <xf numFmtId="0" fontId="13" fillId="11" borderId="30" xfId="0" applyFont="1" applyFill="1" applyBorder="1" applyAlignment="1" applyProtection="1">
      <alignment horizontal="left" wrapText="1" indent="1"/>
    </xf>
    <xf numFmtId="0" fontId="12" fillId="11" borderId="25" xfId="0" applyFont="1" applyFill="1" applyBorder="1" applyAlignment="1" applyProtection="1">
      <alignment wrapText="1"/>
    </xf>
    <xf numFmtId="0" fontId="17" fillId="11" borderId="43" xfId="0" applyFont="1" applyFill="1" applyBorder="1" applyAlignment="1" applyProtection="1">
      <alignment horizontal="left" vertical="center"/>
    </xf>
    <xf numFmtId="0" fontId="29" fillId="3" borderId="24" xfId="0" applyFont="1" applyFill="1" applyBorder="1" applyAlignment="1" applyProtection="1">
      <alignment vertical="center"/>
    </xf>
    <xf numFmtId="0" fontId="11" fillId="3" borderId="25" xfId="0" applyFont="1" applyFill="1" applyBorder="1" applyAlignment="1" applyProtection="1">
      <alignment horizontal="left" vertical="center" wrapText="1"/>
    </xf>
    <xf numFmtId="0" fontId="11" fillId="3" borderId="26" xfId="0" applyFont="1" applyFill="1" applyBorder="1" applyAlignment="1" applyProtection="1">
      <alignment horizontal="left" vertical="center" wrapText="1"/>
    </xf>
    <xf numFmtId="0" fontId="13" fillId="3" borderId="20" xfId="0" applyFont="1" applyFill="1" applyBorder="1" applyProtection="1"/>
    <xf numFmtId="0" fontId="12" fillId="3" borderId="20" xfId="0" applyFont="1" applyFill="1" applyBorder="1" applyProtection="1"/>
    <xf numFmtId="0" fontId="12" fillId="3" borderId="22" xfId="0" applyFont="1" applyFill="1" applyBorder="1" applyProtection="1"/>
    <xf numFmtId="0" fontId="13" fillId="5" borderId="24" xfId="0" applyFont="1" applyFill="1" applyBorder="1" applyProtection="1"/>
    <xf numFmtId="0" fontId="13" fillId="5" borderId="25" xfId="0" applyFont="1" applyFill="1" applyBorder="1" applyProtection="1"/>
    <xf numFmtId="0" fontId="12" fillId="5" borderId="25" xfId="0" applyFont="1" applyFill="1" applyBorder="1" applyProtection="1"/>
    <xf numFmtId="0" fontId="12" fillId="5" borderId="25" xfId="1" applyNumberFormat="1" applyFont="1" applyFill="1" applyBorder="1" applyAlignment="1" applyProtection="1">
      <alignment horizontal="left" vertical="center" wrapText="1"/>
    </xf>
    <xf numFmtId="0" fontId="12" fillId="3" borderId="54" xfId="0" applyFont="1" applyFill="1" applyBorder="1" applyProtection="1"/>
    <xf numFmtId="0" fontId="13" fillId="10" borderId="19" xfId="0" applyFont="1" applyFill="1" applyBorder="1" applyProtection="1"/>
    <xf numFmtId="0" fontId="13" fillId="10" borderId="20" xfId="0" applyFont="1" applyFill="1" applyBorder="1" applyProtection="1"/>
    <xf numFmtId="0" fontId="12" fillId="10" borderId="21" xfId="0" applyFont="1" applyFill="1" applyBorder="1" applyProtection="1"/>
    <xf numFmtId="0" fontId="11" fillId="2" borderId="24" xfId="0" applyFont="1" applyFill="1" applyBorder="1" applyAlignment="1" applyProtection="1">
      <alignment horizontal="left" vertical="center" wrapText="1"/>
    </xf>
    <xf numFmtId="0" fontId="11" fillId="2" borderId="25" xfId="0" applyFont="1" applyFill="1" applyBorder="1" applyAlignment="1" applyProtection="1">
      <alignment horizontal="left" vertical="center" wrapText="1" indent="1"/>
    </xf>
    <xf numFmtId="0" fontId="11" fillId="2" borderId="24" xfId="0" applyFont="1" applyFill="1" applyBorder="1" applyAlignment="1" applyProtection="1">
      <alignment horizontal="center" vertical="center" wrapText="1"/>
    </xf>
    <xf numFmtId="0" fontId="13" fillId="3" borderId="0" xfId="0" applyFont="1" applyFill="1" applyBorder="1" applyProtection="1"/>
    <xf numFmtId="0" fontId="12" fillId="3" borderId="76" xfId="0" applyFont="1" applyFill="1" applyBorder="1" applyProtection="1"/>
    <xf numFmtId="0" fontId="11" fillId="2" borderId="32" xfId="0" applyFont="1" applyFill="1" applyBorder="1" applyAlignment="1" applyProtection="1">
      <alignment horizontal="left" vertical="center" wrapText="1" indent="1"/>
    </xf>
    <xf numFmtId="164" fontId="11" fillId="2" borderId="26" xfId="0" applyNumberFormat="1" applyFont="1" applyFill="1" applyBorder="1" applyAlignment="1" applyProtection="1">
      <alignment horizontal="center" vertical="center" wrapText="1"/>
    </xf>
    <xf numFmtId="0" fontId="12" fillId="0" borderId="20" xfId="0" applyFont="1" applyBorder="1" applyProtection="1"/>
    <xf numFmtId="0" fontId="13" fillId="0" borderId="0" xfId="0" applyFont="1" applyProtection="1"/>
    <xf numFmtId="0" fontId="13" fillId="10" borderId="24" xfId="0" applyFont="1" applyFill="1" applyBorder="1" applyAlignment="1" applyProtection="1"/>
    <xf numFmtId="0" fontId="12" fillId="9" borderId="32" xfId="0" applyFont="1" applyFill="1" applyBorder="1" applyProtection="1"/>
    <xf numFmtId="0" fontId="31" fillId="8" borderId="24" xfId="0" applyFont="1" applyFill="1" applyBorder="1" applyAlignment="1" applyProtection="1">
      <alignment vertical="center"/>
    </xf>
    <xf numFmtId="0" fontId="32" fillId="8" borderId="25" xfId="0" applyFont="1" applyFill="1" applyBorder="1" applyAlignment="1" applyProtection="1">
      <alignment horizontal="left" vertical="center" wrapText="1"/>
    </xf>
    <xf numFmtId="0" fontId="32" fillId="8" borderId="25" xfId="0" applyFont="1" applyFill="1" applyBorder="1" applyAlignment="1" applyProtection="1">
      <alignment horizontal="left" vertical="center" wrapText="1" indent="1"/>
    </xf>
    <xf numFmtId="164" fontId="12" fillId="0" borderId="1" xfId="1" applyNumberFormat="1" applyFont="1" applyFill="1" applyBorder="1" applyAlignment="1" applyProtection="1">
      <alignment horizontal="center" vertical="center" wrapText="1"/>
      <protection locked="0"/>
    </xf>
    <xf numFmtId="164" fontId="12" fillId="0" borderId="4" xfId="1" applyNumberFormat="1" applyFont="1" applyFill="1" applyBorder="1" applyAlignment="1" applyProtection="1">
      <alignment horizontal="center" vertical="center" wrapText="1"/>
      <protection locked="0"/>
    </xf>
    <xf numFmtId="164" fontId="12" fillId="0" borderId="5" xfId="1" applyNumberFormat="1" applyFont="1" applyFill="1" applyBorder="1" applyAlignment="1" applyProtection="1">
      <alignment horizontal="center" vertical="center" wrapText="1"/>
      <protection locked="0"/>
    </xf>
    <xf numFmtId="164" fontId="12" fillId="0" borderId="13" xfId="1" applyNumberFormat="1" applyFont="1" applyFill="1" applyBorder="1" applyAlignment="1" applyProtection="1">
      <alignment horizontal="center" vertical="center" wrapText="1"/>
      <protection locked="0"/>
    </xf>
    <xf numFmtId="165" fontId="12" fillId="0" borderId="35" xfId="1" applyNumberFormat="1" applyFont="1" applyFill="1" applyBorder="1" applyAlignment="1" applyProtection="1">
      <alignment horizontal="center" vertical="center" wrapText="1"/>
      <protection locked="0"/>
    </xf>
    <xf numFmtId="165" fontId="13" fillId="11" borderId="10" xfId="0" applyNumberFormat="1" applyFont="1" applyFill="1" applyBorder="1" applyAlignment="1" applyProtection="1">
      <alignment horizontal="center" wrapText="1"/>
    </xf>
    <xf numFmtId="0" fontId="44" fillId="0" borderId="5" xfId="0" applyFont="1" applyBorder="1" applyAlignment="1">
      <alignment horizontal="left" vertical="center" wrapText="1" indent="1"/>
    </xf>
    <xf numFmtId="0" fontId="21" fillId="0" borderId="0" xfId="0" applyFont="1" applyProtection="1">
      <protection locked="0"/>
    </xf>
    <xf numFmtId="9" fontId="12" fillId="3" borderId="23" xfId="0" applyNumberFormat="1" applyFont="1" applyFill="1" applyBorder="1" applyAlignment="1" applyProtection="1">
      <alignment horizontal="center"/>
      <protection locked="0"/>
    </xf>
    <xf numFmtId="9" fontId="12" fillId="3" borderId="75" xfId="0" applyNumberFormat="1" applyFont="1" applyFill="1" applyBorder="1" applyAlignment="1" applyProtection="1">
      <alignment horizontal="center"/>
      <protection locked="0"/>
    </xf>
    <xf numFmtId="0" fontId="21" fillId="10" borderId="24" xfId="0" applyFont="1" applyFill="1" applyBorder="1" applyProtection="1"/>
    <xf numFmtId="0" fontId="22" fillId="0" borderId="0" xfId="0" applyFont="1" applyAlignment="1">
      <alignment vertical="center"/>
    </xf>
    <xf numFmtId="164" fontId="12" fillId="0" borderId="4" xfId="1" applyNumberFormat="1" applyFont="1" applyFill="1" applyBorder="1" applyAlignment="1" applyProtection="1">
      <alignment horizontal="right" vertical="center" wrapText="1" indent="1"/>
      <protection locked="0"/>
    </xf>
    <xf numFmtId="49" fontId="51" fillId="0" borderId="1" xfId="1" applyNumberFormat="1" applyFont="1" applyFill="1" applyBorder="1" applyAlignment="1">
      <alignment horizontal="left" vertical="center" wrapText="1" indent="1"/>
      <protection locked="0"/>
    </xf>
    <xf numFmtId="49" fontId="51" fillId="0" borderId="1" xfId="0" applyNumberFormat="1" applyFont="1" applyBorder="1" applyAlignment="1">
      <alignment vertical="center" wrapText="1"/>
    </xf>
    <xf numFmtId="0" fontId="51" fillId="0" borderId="1" xfId="1" applyNumberFormat="1" applyFont="1" applyFill="1" applyBorder="1" applyAlignment="1">
      <alignment horizontal="left" vertical="center" wrapText="1" indent="1"/>
      <protection locked="0"/>
    </xf>
    <xf numFmtId="164" fontId="51" fillId="0" borderId="1" xfId="1" applyNumberFormat="1" applyFont="1" applyFill="1" applyBorder="1" applyAlignment="1">
      <alignment horizontal="right" vertical="center" wrapText="1" indent="1"/>
      <protection locked="0"/>
    </xf>
    <xf numFmtId="0" fontId="44" fillId="0" borderId="1" xfId="1" applyNumberFormat="1" applyFont="1" applyFill="1" applyBorder="1" applyAlignment="1">
      <alignment horizontal="left" vertical="center" wrapText="1" indent="1"/>
      <protection locked="0"/>
    </xf>
    <xf numFmtId="0" fontId="44" fillId="0" borderId="4" xfId="1" applyNumberFormat="1" applyFont="1" applyFill="1" applyBorder="1" applyAlignment="1">
      <alignment horizontal="left" vertical="center" wrapText="1" indent="1"/>
      <protection locked="0"/>
    </xf>
    <xf numFmtId="0" fontId="12" fillId="3" borderId="40" xfId="0" applyFont="1" applyFill="1" applyBorder="1" applyAlignment="1" applyProtection="1">
      <alignment horizontal="center" vertical="center" wrapText="1"/>
      <protection locked="0"/>
    </xf>
    <xf numFmtId="0" fontId="12" fillId="0" borderId="5" xfId="0" applyFont="1" applyBorder="1" applyAlignment="1" applyProtection="1">
      <alignment horizontal="center" vertical="center" wrapText="1"/>
    </xf>
    <xf numFmtId="49" fontId="12" fillId="0" borderId="85" xfId="1" applyNumberFormat="1" applyFont="1" applyFill="1" applyBorder="1" applyAlignment="1" applyProtection="1">
      <alignment horizontal="left" vertical="center" wrapText="1" indent="1"/>
    </xf>
    <xf numFmtId="166" fontId="12" fillId="0" borderId="4" xfId="1" applyNumberFormat="1" applyFont="1" applyFill="1" applyBorder="1" applyAlignment="1" applyProtection="1">
      <alignment horizontal="center" vertical="center" wrapText="1"/>
      <protection locked="0"/>
    </xf>
    <xf numFmtId="49" fontId="12" fillId="0" borderId="86" xfId="1" applyNumberFormat="1" applyFont="1" applyFill="1" applyBorder="1" applyAlignment="1" applyProtection="1">
      <alignment horizontal="left" vertical="center" wrapText="1" indent="1"/>
    </xf>
    <xf numFmtId="166" fontId="12" fillId="0" borderId="5" xfId="1" applyNumberFormat="1" applyFont="1" applyFill="1" applyBorder="1" applyAlignment="1" applyProtection="1">
      <alignment horizontal="center" vertical="center" wrapText="1"/>
      <protection locked="0"/>
    </xf>
    <xf numFmtId="166" fontId="12" fillId="0" borderId="87" xfId="0" applyNumberFormat="1" applyFont="1" applyBorder="1" applyAlignment="1" applyProtection="1">
      <alignment horizontal="center" vertical="center"/>
    </xf>
    <xf numFmtId="0" fontId="13" fillId="0" borderId="2" xfId="0" applyFont="1" applyBorder="1" applyAlignment="1" applyProtection="1">
      <alignment vertical="center"/>
    </xf>
    <xf numFmtId="0" fontId="12" fillId="0" borderId="88" xfId="0" applyFont="1" applyBorder="1" applyAlignment="1" applyProtection="1">
      <alignment horizontal="center" vertical="center" wrapText="1"/>
    </xf>
    <xf numFmtId="166" fontId="12" fillId="0" borderId="89" xfId="0" applyNumberFormat="1" applyFont="1" applyBorder="1" applyAlignment="1" applyProtection="1">
      <alignment horizontal="center" vertical="center"/>
    </xf>
    <xf numFmtId="0" fontId="12" fillId="0" borderId="81" xfId="0" applyFont="1" applyBorder="1" applyAlignment="1" applyProtection="1">
      <alignment horizontal="center" vertical="center" wrapText="1"/>
    </xf>
    <xf numFmtId="0" fontId="13" fillId="0" borderId="38" xfId="0" applyFont="1" applyBorder="1" applyAlignment="1" applyProtection="1">
      <alignment vertical="center"/>
    </xf>
    <xf numFmtId="49" fontId="51" fillId="0" borderId="85" xfId="1" applyNumberFormat="1" applyFont="1" applyFill="1" applyBorder="1" applyAlignment="1">
      <alignment horizontal="left" vertical="center" wrapText="1" indent="1"/>
      <protection locked="0"/>
    </xf>
    <xf numFmtId="49" fontId="51" fillId="0" borderId="38" xfId="1" applyNumberFormat="1" applyFont="1" applyFill="1" applyBorder="1" applyAlignment="1">
      <alignment horizontal="left" vertical="center" wrapText="1" indent="1"/>
      <protection locked="0"/>
    </xf>
    <xf numFmtId="0" fontId="13" fillId="10" borderId="90" xfId="1" applyNumberFormat="1" applyFont="1" applyFill="1" applyBorder="1" applyAlignment="1" applyProtection="1">
      <alignment horizontal="center" vertical="center" wrapText="1"/>
    </xf>
    <xf numFmtId="0" fontId="36" fillId="10" borderId="0" xfId="0" applyFont="1" applyFill="1" applyBorder="1"/>
    <xf numFmtId="0" fontId="0" fillId="12" borderId="0" xfId="0" applyFill="1" applyProtection="1"/>
    <xf numFmtId="0" fontId="46" fillId="0" borderId="4" xfId="0" applyFont="1" applyBorder="1" applyAlignment="1" applyProtection="1">
      <alignment vertical="center"/>
    </xf>
    <xf numFmtId="0" fontId="13" fillId="11" borderId="43" xfId="0" applyFont="1" applyFill="1" applyBorder="1" applyAlignment="1" applyProtection="1">
      <alignment horizontal="center" vertical="center"/>
    </xf>
    <xf numFmtId="0" fontId="13" fillId="0" borderId="5" xfId="0" applyFont="1" applyBorder="1" applyAlignment="1" applyProtection="1">
      <alignment horizontal="center" wrapText="1"/>
    </xf>
    <xf numFmtId="0" fontId="17" fillId="6" borderId="69" xfId="8" applyNumberFormat="1" applyFont="1" applyFill="1" applyBorder="1" applyAlignment="1" applyProtection="1">
      <alignment horizontal="left" vertical="center"/>
    </xf>
    <xf numFmtId="49" fontId="23" fillId="0" borderId="18" xfId="8" applyNumberFormat="1" applyFont="1" applyFill="1" applyBorder="1" applyAlignment="1" applyProtection="1">
      <alignment horizontal="left" vertical="center" indent="1"/>
    </xf>
    <xf numFmtId="0" fontId="12" fillId="0" borderId="6" xfId="8" applyNumberFormat="1" applyFont="1" applyFill="1" applyBorder="1" applyAlignment="1" applyProtection="1">
      <alignment horizontal="left" vertical="center" wrapText="1" indent="1"/>
    </xf>
    <xf numFmtId="0" fontId="12" fillId="0" borderId="1" xfId="8" applyNumberFormat="1" applyFont="1" applyFill="1" applyBorder="1" applyAlignment="1" applyProtection="1">
      <alignment horizontal="left" vertical="center" wrapText="1" indent="1"/>
    </xf>
    <xf numFmtId="49" fontId="22" fillId="0" borderId="6" xfId="8" applyNumberFormat="1" applyFont="1" applyFill="1" applyBorder="1" applyAlignment="1" applyProtection="1">
      <alignment horizontal="left" vertical="center" indent="1"/>
    </xf>
    <xf numFmtId="49" fontId="22" fillId="0" borderId="4" xfId="8" applyNumberFormat="1" applyFont="1" applyFill="1" applyBorder="1" applyAlignment="1" applyProtection="1">
      <alignment horizontal="left" vertical="center" indent="1"/>
    </xf>
    <xf numFmtId="49" fontId="22" fillId="0" borderId="1" xfId="8" applyNumberFormat="1" applyFont="1" applyFill="1" applyBorder="1" applyAlignment="1" applyProtection="1">
      <alignment horizontal="left" vertical="center" indent="1"/>
    </xf>
    <xf numFmtId="49" fontId="22" fillId="0" borderId="8" xfId="8" applyNumberFormat="1" applyFont="1" applyFill="1" applyBorder="1" applyAlignment="1" applyProtection="1">
      <alignment horizontal="left" vertical="center" indent="1"/>
    </xf>
    <xf numFmtId="49" fontId="17" fillId="0" borderId="1" xfId="8" applyNumberFormat="1" applyFont="1" applyFill="1" applyBorder="1" applyAlignment="1" applyProtection="1">
      <alignment horizontal="left" vertical="center" indent="1"/>
    </xf>
    <xf numFmtId="0" fontId="44" fillId="0" borderId="15" xfId="1" applyNumberFormat="1" applyFont="1" applyFill="1" applyBorder="1" applyAlignment="1" applyProtection="1">
      <alignment horizontal="left" vertical="center" wrapText="1" indent="1"/>
    </xf>
    <xf numFmtId="0" fontId="44" fillId="0" borderId="35" xfId="1" applyNumberFormat="1" applyFont="1" applyFill="1" applyBorder="1" applyAlignment="1">
      <alignment horizontal="left" vertical="center" wrapText="1" indent="1"/>
      <protection locked="0"/>
    </xf>
    <xf numFmtId="0" fontId="20" fillId="0" borderId="73" xfId="0" applyFont="1" applyBorder="1" applyAlignment="1" applyProtection="1">
      <alignment horizontal="left" vertical="center"/>
    </xf>
    <xf numFmtId="0" fontId="23" fillId="6" borderId="5" xfId="8" applyNumberFormat="1" applyFont="1" applyFill="1" applyBorder="1" applyAlignment="1" applyProtection="1">
      <alignment horizontal="left" vertical="center"/>
    </xf>
    <xf numFmtId="0" fontId="23" fillId="6" borderId="1" xfId="8" applyNumberFormat="1" applyFont="1" applyFill="1" applyBorder="1" applyAlignment="1" applyProtection="1">
      <alignment horizontal="left" vertical="center"/>
    </xf>
    <xf numFmtId="0" fontId="23" fillId="6" borderId="4" xfId="8" applyNumberFormat="1" applyFont="1" applyFill="1" applyBorder="1" applyAlignment="1" applyProtection="1">
      <alignment horizontal="left" vertical="center"/>
    </xf>
    <xf numFmtId="0" fontId="18" fillId="11" borderId="66" xfId="8" applyNumberFormat="1" applyFont="1" applyFill="1" applyBorder="1" applyAlignment="1" applyProtection="1">
      <alignment horizontal="left" vertical="center"/>
    </xf>
    <xf numFmtId="49" fontId="17" fillId="0" borderId="5" xfId="8" applyNumberFormat="1" applyFont="1" applyFill="1" applyBorder="1" applyAlignment="1" applyProtection="1">
      <alignment horizontal="left" vertical="center" indent="1"/>
    </xf>
    <xf numFmtId="0" fontId="13" fillId="10" borderId="18" xfId="8" applyNumberFormat="1" applyFont="1" applyFill="1" applyBorder="1" applyAlignment="1" applyProtection="1">
      <alignment horizontal="left" vertical="center" wrapText="1" indent="1"/>
    </xf>
    <xf numFmtId="0" fontId="13" fillId="0" borderId="1" xfId="8" applyNumberFormat="1" applyFont="1" applyFill="1" applyBorder="1" applyAlignment="1" applyProtection="1">
      <alignment horizontal="left" vertical="center" wrapText="1" indent="1"/>
    </xf>
    <xf numFmtId="164" fontId="11" fillId="2" borderId="6" xfId="0" applyNumberFormat="1" applyFont="1" applyFill="1" applyBorder="1" applyAlignment="1" applyProtection="1">
      <alignment horizontal="right" vertical="center" wrapText="1" indent="1"/>
    </xf>
    <xf numFmtId="0" fontId="12" fillId="0" borderId="4" xfId="8" applyNumberFormat="1" applyFont="1" applyFill="1" applyBorder="1" applyAlignment="1" applyProtection="1">
      <alignment horizontal="left" vertical="center" wrapText="1" indent="1"/>
    </xf>
    <xf numFmtId="0" fontId="12" fillId="0" borderId="16" xfId="8" applyNumberFormat="1" applyFont="1" applyFill="1" applyBorder="1" applyAlignment="1" applyProtection="1">
      <alignment horizontal="left" vertical="center" wrapText="1" indent="1"/>
    </xf>
    <xf numFmtId="0" fontId="13" fillId="6" borderId="59" xfId="8" applyNumberFormat="1" applyFont="1" applyFill="1" applyBorder="1" applyAlignment="1" applyProtection="1">
      <alignment horizontal="left" vertical="center"/>
      <protection locked="0"/>
    </xf>
    <xf numFmtId="0" fontId="13" fillId="4" borderId="2" xfId="8" applyNumberFormat="1" applyFont="1" applyFill="1" applyBorder="1" applyAlignment="1" applyProtection="1">
      <alignment horizontal="left" vertical="center" indent="1"/>
    </xf>
    <xf numFmtId="164" fontId="11" fillId="2" borderId="6" xfId="0" applyNumberFormat="1" applyFont="1" applyFill="1" applyBorder="1" applyAlignment="1" applyProtection="1">
      <alignment horizontal="right" vertical="center" wrapText="1" indent="1"/>
      <protection locked="0"/>
    </xf>
    <xf numFmtId="0" fontId="12" fillId="3" borderId="0" xfId="8" applyNumberFormat="1" applyFont="1" applyFill="1" applyBorder="1" applyAlignment="1" applyProtection="1">
      <alignment horizontal="left" vertical="center" wrapText="1"/>
      <protection locked="0"/>
    </xf>
    <xf numFmtId="0" fontId="12" fillId="3" borderId="55" xfId="0" applyFont="1" applyFill="1" applyBorder="1" applyProtection="1">
      <protection locked="0"/>
    </xf>
    <xf numFmtId="0" fontId="21" fillId="10" borderId="19" xfId="0" applyFont="1" applyFill="1" applyBorder="1" applyProtection="1">
      <protection locked="0"/>
    </xf>
    <xf numFmtId="0" fontId="11" fillId="2" borderId="32" xfId="0" applyFont="1" applyFill="1" applyBorder="1" applyAlignment="1" applyProtection="1">
      <alignment horizontal="center" vertical="center" wrapText="1"/>
      <protection locked="0"/>
    </xf>
    <xf numFmtId="168" fontId="12" fillId="10" borderId="23" xfId="0" applyNumberFormat="1" applyFont="1" applyFill="1" applyBorder="1" applyAlignment="1" applyProtection="1">
      <alignment horizontal="left" indent="1"/>
    </xf>
    <xf numFmtId="168" fontId="12" fillId="10" borderId="29" xfId="0" applyNumberFormat="1" applyFont="1" applyFill="1" applyBorder="1" applyAlignment="1" applyProtection="1">
      <alignment horizontal="left" indent="1"/>
    </xf>
    <xf numFmtId="0" fontId="38" fillId="0" borderId="0" xfId="0" applyFont="1" applyAlignment="1">
      <alignment horizontal="center" vertical="center"/>
    </xf>
    <xf numFmtId="0" fontId="55" fillId="3" borderId="80" xfId="0" applyFont="1" applyFill="1" applyBorder="1" applyAlignment="1" applyProtection="1">
      <alignment horizontal="justify" vertical="center"/>
    </xf>
    <xf numFmtId="0" fontId="18" fillId="3" borderId="24" xfId="0" applyFont="1" applyFill="1" applyBorder="1" applyAlignment="1" applyProtection="1">
      <alignment horizontal="center" vertical="center" wrapText="1"/>
    </xf>
    <xf numFmtId="0" fontId="12" fillId="10" borderId="22" xfId="0" applyFont="1" applyFill="1" applyBorder="1" applyAlignment="1" applyProtection="1">
      <alignment horizontal="left" indent="1"/>
      <protection locked="0"/>
    </xf>
    <xf numFmtId="0" fontId="12" fillId="10" borderId="0" xfId="0" applyFont="1" applyFill="1" applyBorder="1" applyAlignment="1" applyProtection="1">
      <alignment horizontal="left" indent="1"/>
      <protection locked="0"/>
    </xf>
    <xf numFmtId="168" fontId="0" fillId="12" borderId="9" xfId="0" applyNumberFormat="1" applyFill="1" applyBorder="1" applyAlignment="1" applyProtection="1">
      <alignment horizontal="left"/>
      <protection locked="0"/>
    </xf>
    <xf numFmtId="0" fontId="0" fillId="12" borderId="9" xfId="0" applyFill="1" applyBorder="1" applyAlignment="1" applyProtection="1">
      <alignment horizontal="left"/>
      <protection locked="0"/>
    </xf>
    <xf numFmtId="0" fontId="36" fillId="12" borderId="9" xfId="0" applyFont="1" applyFill="1" applyBorder="1" applyAlignment="1" applyProtection="1">
      <alignment horizontal="left"/>
      <protection locked="0"/>
    </xf>
    <xf numFmtId="0" fontId="34" fillId="10" borderId="0" xfId="0" applyFont="1" applyFill="1" applyBorder="1" applyAlignment="1">
      <alignment horizontal="center"/>
    </xf>
    <xf numFmtId="0" fontId="35" fillId="10" borderId="0" xfId="0" applyFont="1" applyFill="1" applyBorder="1" applyAlignment="1">
      <alignment horizontal="center"/>
    </xf>
    <xf numFmtId="0" fontId="18" fillId="4" borderId="24" xfId="0" applyFont="1" applyFill="1" applyBorder="1" applyAlignment="1" applyProtection="1">
      <alignment horizontal="center" vertical="center" wrapText="1"/>
      <protection locked="0"/>
    </xf>
    <xf numFmtId="0" fontId="18" fillId="4" borderId="26"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left" vertical="center"/>
    </xf>
    <xf numFmtId="0" fontId="10" fillId="3" borderId="2" xfId="0" applyFont="1" applyFill="1" applyBorder="1" applyAlignment="1" applyProtection="1">
      <alignment horizontal="left" vertical="center"/>
    </xf>
    <xf numFmtId="0" fontId="10" fillId="3" borderId="3" xfId="0" applyFont="1" applyFill="1" applyBorder="1" applyAlignment="1" applyProtection="1">
      <alignment horizontal="left" vertical="center"/>
    </xf>
    <xf numFmtId="0" fontId="10" fillId="3" borderId="8" xfId="0" applyFont="1" applyFill="1" applyBorder="1" applyAlignment="1" applyProtection="1">
      <alignment horizontal="left" vertical="center"/>
    </xf>
    <xf numFmtId="0" fontId="13" fillId="4" borderId="2" xfId="1" applyNumberFormat="1" applyFont="1" applyFill="1" applyBorder="1" applyAlignment="1" applyProtection="1">
      <alignment horizontal="left" vertical="center"/>
    </xf>
    <xf numFmtId="0" fontId="13" fillId="4" borderId="3" xfId="1" applyNumberFormat="1" applyFont="1" applyFill="1" applyBorder="1" applyAlignment="1" applyProtection="1">
      <alignment horizontal="left" vertical="center"/>
    </xf>
    <xf numFmtId="0" fontId="12" fillId="0" borderId="2" xfId="8" applyNumberFormat="1" applyFont="1" applyFill="1" applyBorder="1" applyAlignment="1" applyProtection="1">
      <alignment horizontal="left" vertical="center" wrapText="1"/>
    </xf>
    <xf numFmtId="0" fontId="12" fillId="0" borderId="8" xfId="8" applyNumberFormat="1" applyFont="1" applyFill="1" applyBorder="1" applyAlignment="1" applyProtection="1">
      <alignment horizontal="left" vertical="center" wrapText="1"/>
    </xf>
    <xf numFmtId="0" fontId="13" fillId="6" borderId="31" xfId="8" applyNumberFormat="1" applyFont="1" applyFill="1" applyBorder="1" applyAlignment="1" applyProtection="1">
      <alignment horizontal="left" vertical="center" wrapText="1"/>
    </xf>
    <xf numFmtId="0" fontId="13" fillId="6" borderId="25" xfId="8" applyNumberFormat="1" applyFont="1" applyFill="1" applyBorder="1" applyAlignment="1" applyProtection="1">
      <alignment horizontal="left" vertical="center" wrapText="1"/>
    </xf>
    <xf numFmtId="0" fontId="13" fillId="6" borderId="26" xfId="8" applyNumberFormat="1" applyFont="1" applyFill="1" applyBorder="1" applyAlignment="1" applyProtection="1">
      <alignment horizontal="left" vertical="center" wrapText="1"/>
    </xf>
    <xf numFmtId="0" fontId="11" fillId="2" borderId="2" xfId="0" applyFont="1" applyFill="1" applyBorder="1" applyAlignment="1" applyProtection="1">
      <alignment horizontal="center" vertical="center" wrapText="1"/>
    </xf>
    <xf numFmtId="0" fontId="11" fillId="2" borderId="8" xfId="0" applyFont="1" applyFill="1" applyBorder="1" applyAlignment="1" applyProtection="1">
      <alignment horizontal="center" vertical="center" wrapText="1"/>
    </xf>
    <xf numFmtId="0" fontId="12" fillId="6" borderId="31" xfId="8" applyNumberFormat="1" applyFont="1" applyFill="1" applyBorder="1" applyAlignment="1" applyProtection="1">
      <alignment horizontal="left" vertical="center" wrapText="1"/>
    </xf>
    <xf numFmtId="0" fontId="12" fillId="6" borderId="25" xfId="8" applyNumberFormat="1" applyFont="1" applyFill="1" applyBorder="1" applyAlignment="1" applyProtection="1">
      <alignment horizontal="left" vertical="center" wrapText="1"/>
    </xf>
    <xf numFmtId="0" fontId="12" fillId="6" borderId="26" xfId="8" applyNumberFormat="1" applyFont="1" applyFill="1" applyBorder="1" applyAlignment="1" applyProtection="1">
      <alignment horizontal="left" vertical="center" wrapText="1"/>
    </xf>
    <xf numFmtId="0" fontId="12" fillId="10" borderId="22" xfId="0" applyFont="1" applyFill="1" applyBorder="1" applyAlignment="1" applyProtection="1">
      <alignment horizontal="left" indent="1"/>
      <protection locked="0"/>
    </xf>
    <xf numFmtId="0" fontId="12" fillId="10" borderId="0" xfId="0" applyFont="1" applyFill="1" applyBorder="1" applyAlignment="1" applyProtection="1">
      <alignment horizontal="left" indent="1"/>
      <protection locked="0"/>
    </xf>
    <xf numFmtId="0" fontId="12" fillId="10" borderId="27" xfId="0" applyFont="1" applyFill="1" applyBorder="1" applyAlignment="1" applyProtection="1">
      <alignment horizontal="left" indent="1"/>
      <protection locked="0"/>
    </xf>
    <xf numFmtId="0" fontId="12" fillId="10" borderId="28" xfId="0" applyFont="1" applyFill="1" applyBorder="1" applyAlignment="1" applyProtection="1">
      <alignment horizontal="left" indent="1"/>
      <protection locked="0"/>
    </xf>
    <xf numFmtId="0" fontId="12" fillId="10" borderId="19" xfId="0" applyFont="1" applyFill="1" applyBorder="1" applyAlignment="1" applyProtection="1">
      <alignment horizontal="left" indent="1"/>
    </xf>
    <xf numFmtId="0" fontId="12" fillId="10" borderId="20" xfId="0" applyFont="1" applyFill="1" applyBorder="1" applyAlignment="1" applyProtection="1">
      <alignment horizontal="left" indent="1"/>
    </xf>
    <xf numFmtId="0" fontId="12" fillId="10" borderId="22" xfId="0" applyFont="1" applyFill="1" applyBorder="1" applyAlignment="1" applyProtection="1">
      <alignment horizontal="left" indent="1"/>
    </xf>
    <xf numFmtId="0" fontId="12" fillId="10" borderId="0" xfId="0" applyFont="1" applyFill="1" applyBorder="1" applyAlignment="1" applyProtection="1">
      <alignment horizontal="left" indent="1"/>
    </xf>
    <xf numFmtId="0" fontId="12" fillId="10" borderId="27" xfId="0" applyFont="1" applyFill="1" applyBorder="1" applyAlignment="1" applyProtection="1">
      <alignment horizontal="left" indent="1"/>
    </xf>
    <xf numFmtId="0" fontId="12" fillId="10" borderId="28" xfId="0" applyFont="1" applyFill="1" applyBorder="1" applyAlignment="1" applyProtection="1">
      <alignment horizontal="left" indent="1"/>
    </xf>
    <xf numFmtId="49" fontId="26" fillId="0" borderId="7" xfId="0" applyNumberFormat="1" applyFont="1" applyBorder="1" applyAlignment="1" applyProtection="1">
      <alignment vertical="center" wrapText="1"/>
      <protection locked="0"/>
    </xf>
    <xf numFmtId="49" fontId="26" fillId="0" borderId="7" xfId="0" applyNumberFormat="1" applyFont="1" applyBorder="1" applyAlignment="1" applyProtection="1">
      <alignment vertical="center" wrapText="1"/>
    </xf>
    <xf numFmtId="49" fontId="12" fillId="0" borderId="7" xfId="1" applyNumberFormat="1" applyFont="1" applyFill="1" applyBorder="1" applyAlignment="1" applyProtection="1">
      <alignment horizontal="left" vertical="center" wrapText="1" indent="1"/>
    </xf>
    <xf numFmtId="49" fontId="36" fillId="0" borderId="0" xfId="0" applyNumberFormat="1" applyFont="1" applyProtection="1"/>
    <xf numFmtId="0" fontId="36" fillId="0" borderId="0" xfId="0" applyFont="1" applyProtection="1"/>
    <xf numFmtId="165" fontId="36" fillId="0" borderId="0" xfId="0" applyNumberFormat="1" applyFont="1" applyProtection="1"/>
    <xf numFmtId="0" fontId="12" fillId="0" borderId="88" xfId="1" applyNumberFormat="1" applyFont="1" applyFill="1" applyBorder="1" applyAlignment="1" applyProtection="1">
      <alignment horizontal="left" vertical="center" wrapText="1" indent="1"/>
    </xf>
    <xf numFmtId="0" fontId="12" fillId="0" borderId="88" xfId="1" applyNumberFormat="1" applyFont="1" applyFill="1" applyBorder="1" applyAlignment="1" applyProtection="1">
      <alignment horizontal="left" vertical="center" wrapText="1" indent="1"/>
      <protection locked="0"/>
    </xf>
    <xf numFmtId="165" fontId="12" fillId="0" borderId="88" xfId="1" applyNumberFormat="1" applyFont="1" applyFill="1" applyBorder="1" applyAlignment="1" applyProtection="1">
      <alignment horizontal="center" vertical="center" wrapText="1"/>
      <protection locked="0"/>
    </xf>
  </cellXfs>
  <cellStyles count="14">
    <cellStyle name="Dezimal_Tabelle1_1" xfId="1"/>
    <cellStyle name="Dezimal_Tabelle1_1 2" xfId="8"/>
    <cellStyle name="Hyperlink" xfId="2" builtinId="8"/>
    <cellStyle name="Prozent" xfId="7" builtinId="5"/>
    <cellStyle name="Standard" xfId="0" builtinId="0"/>
    <cellStyle name="Standard 2" xfId="9"/>
    <cellStyle name="Standard 21" xfId="3"/>
    <cellStyle name="Standard 21 2" xfId="11"/>
    <cellStyle name="Standard 21 3" xfId="10"/>
    <cellStyle name="Standard_Tabelle1" xfId="4"/>
    <cellStyle name="Stil 1" xfId="5"/>
    <cellStyle name="Stil 1 2" xfId="12"/>
    <cellStyle name="Stil 1 3" xfId="13"/>
    <cellStyle name="Währung [0]_Tabelle1" xfId="6"/>
  </cellStyles>
  <dxfs count="0"/>
  <tableStyles count="0" defaultTableStyle="TableStyleMedium9" defaultPivotStyle="PivotStyleLight16"/>
  <colors>
    <mruColors>
      <color rgb="FFF8FCD4"/>
      <color rgb="FFF3F4DC"/>
      <color rgb="FF00808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10.xml.rels><?xml version="1.0" encoding="UTF-8" standalone="yes"?>
<Relationships xmlns="http://schemas.openxmlformats.org/package/2006/relationships"><Relationship Id="rId1" Type="http://schemas.openxmlformats.org/officeDocument/2006/relationships/image" Target="../media/image1.gif"/></Relationships>
</file>

<file path=xl/drawings/_rels/drawing11.xml.rels><?xml version="1.0" encoding="UTF-8" standalone="yes"?>
<Relationships xmlns="http://schemas.openxmlformats.org/package/2006/relationships"><Relationship Id="rId2" Type="http://schemas.openxmlformats.org/officeDocument/2006/relationships/hyperlink" Target="#'HW Maintenance'!A1"/><Relationship Id="rId1" Type="http://schemas.openxmlformats.org/officeDocument/2006/relationships/hyperlink" Target="#'HW Support'!A1"/></Relationships>
</file>

<file path=xl/drawings/_rels/drawing2.xml.rels><?xml version="1.0" encoding="UTF-8" standalone="yes"?>
<Relationships xmlns="http://schemas.openxmlformats.org/package/2006/relationships"><Relationship Id="rId8" Type="http://schemas.openxmlformats.org/officeDocument/2006/relationships/image" Target="../media/image7.png"/><Relationship Id="rId13" Type="http://schemas.openxmlformats.org/officeDocument/2006/relationships/image" Target="../media/image10.jpeg"/><Relationship Id="rId3" Type="http://schemas.openxmlformats.org/officeDocument/2006/relationships/image" Target="../media/image3.jpeg"/><Relationship Id="rId7" Type="http://schemas.openxmlformats.org/officeDocument/2006/relationships/image" Target="../media/image6.png"/><Relationship Id="rId12" Type="http://schemas.openxmlformats.org/officeDocument/2006/relationships/hyperlink" Target="http://www.innovaphone.com/en/ip-telephony/ip-phones/ip2x2-x.html" TargetMode="External"/><Relationship Id="rId2" Type="http://schemas.openxmlformats.org/officeDocument/2006/relationships/image" Target="../media/image2.jpeg"/><Relationship Id="rId1" Type="http://schemas.openxmlformats.org/officeDocument/2006/relationships/hyperlink" Target="http://www.innovaphone.com/en/ip-telephony/gateways.html" TargetMode="External"/><Relationship Id="rId6" Type="http://schemas.openxmlformats.org/officeDocument/2006/relationships/image" Target="../media/image5.png"/><Relationship Id="rId11" Type="http://schemas.openxmlformats.org/officeDocument/2006/relationships/image" Target="../media/image9.jpeg"/><Relationship Id="rId5" Type="http://schemas.openxmlformats.org/officeDocument/2006/relationships/image" Target="../media/image4.png"/><Relationship Id="rId15" Type="http://schemas.openxmlformats.org/officeDocument/2006/relationships/image" Target="../media/image1.gif"/><Relationship Id="rId10" Type="http://schemas.openxmlformats.org/officeDocument/2006/relationships/image" Target="../media/image8.png"/><Relationship Id="rId4" Type="http://schemas.openxmlformats.org/officeDocument/2006/relationships/hyperlink" Target="http://www.innovaphone.com/en/ip-telephony/ip-phones.html" TargetMode="External"/><Relationship Id="rId9" Type="http://schemas.openxmlformats.org/officeDocument/2006/relationships/hyperlink" Target="http://www.innovaphone.com/en/ip-telephony/analog-adapter.html" TargetMode="External"/><Relationship Id="rId14" Type="http://schemas.openxmlformats.org/officeDocument/2006/relationships/image" Target="../media/image11.png"/></Relationships>
</file>

<file path=xl/drawings/_rels/drawing3.xml.rels><?xml version="1.0" encoding="UTF-8" standalone="yes"?>
<Relationships xmlns="http://schemas.openxmlformats.org/package/2006/relationships"><Relationship Id="rId3" Type="http://schemas.openxmlformats.org/officeDocument/2006/relationships/hyperlink" Target="http://www.innovaphone.com/en/ip-telephony/innovaphone-pbx.html" TargetMode="External"/><Relationship Id="rId2" Type="http://schemas.openxmlformats.org/officeDocument/2006/relationships/image" Target="../media/image13.jpeg"/><Relationship Id="rId1" Type="http://schemas.openxmlformats.org/officeDocument/2006/relationships/hyperlink" Target="http://www.innovaphone.com/en/produkte-unified-communications.html" TargetMode="External"/><Relationship Id="rId5" Type="http://schemas.openxmlformats.org/officeDocument/2006/relationships/image" Target="../media/image1.gif"/><Relationship Id="rId4" Type="http://schemas.openxmlformats.org/officeDocument/2006/relationships/image" Target="../media/image14.jpeg"/></Relationships>
</file>

<file path=xl/drawings/_rels/drawing4.xml.rels><?xml version="1.0" encoding="UTF-8" standalone="yes"?>
<Relationships xmlns="http://schemas.openxmlformats.org/package/2006/relationships"><Relationship Id="rId3" Type="http://schemas.openxmlformats.org/officeDocument/2006/relationships/hyperlink" Target="http://www.innovaphone.com/en/ip-telephony/wireless/ip62.html" TargetMode="External"/><Relationship Id="rId7" Type="http://schemas.openxmlformats.org/officeDocument/2006/relationships/image" Target="../media/image18.tiff"/><Relationship Id="rId2" Type="http://schemas.openxmlformats.org/officeDocument/2006/relationships/image" Target="../media/image16.png"/><Relationship Id="rId1" Type="http://schemas.openxmlformats.org/officeDocument/2006/relationships/hyperlink" Target="http://www.innovaphone.com/en/ip-telephony/wireless.html" TargetMode="External"/><Relationship Id="rId6" Type="http://schemas.openxmlformats.org/officeDocument/2006/relationships/hyperlink" Target="https://www.innovaphone.com/en/ip-telephony/wireless.html" TargetMode="External"/><Relationship Id="rId5" Type="http://schemas.openxmlformats.org/officeDocument/2006/relationships/image" Target="../media/image1.gif"/><Relationship Id="rId4" Type="http://schemas.openxmlformats.org/officeDocument/2006/relationships/image" Target="../media/image17.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_rels/drawing6.xml.rels><?xml version="1.0" encoding="UTF-8" standalone="yes"?>
<Relationships xmlns="http://schemas.openxmlformats.org/package/2006/relationships"><Relationship Id="rId2" Type="http://schemas.openxmlformats.org/officeDocument/2006/relationships/image" Target="../media/image1.gif"/><Relationship Id="rId1" Type="http://schemas.openxmlformats.org/officeDocument/2006/relationships/hyperlink" Target="#Leistungszusage!A1"/></Relationships>
</file>

<file path=xl/drawings/_rels/drawing7.xml.rels><?xml version="1.0" encoding="UTF-8" standalone="yes"?>
<Relationships xmlns="http://schemas.openxmlformats.org/package/2006/relationships"><Relationship Id="rId1" Type="http://schemas.openxmlformats.org/officeDocument/2006/relationships/image" Target="../media/image1.gif"/></Relationships>
</file>

<file path=xl/drawings/_rels/drawing8.xml.rels><?xml version="1.0" encoding="UTF-8" standalone="yes"?>
<Relationships xmlns="http://schemas.openxmlformats.org/package/2006/relationships"><Relationship Id="rId1" Type="http://schemas.openxmlformats.org/officeDocument/2006/relationships/image" Target="../media/image1.gif"/></Relationships>
</file>

<file path=xl/drawings/_rels/drawing9.xml.rels><?xml version="1.0" encoding="UTF-8" standalone="yes"?>
<Relationships xmlns="http://schemas.openxmlformats.org/package/2006/relationships"><Relationship Id="rId1" Type="http://schemas.openxmlformats.org/officeDocument/2006/relationships/image" Target="../media/image1.gif"/></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5.pn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15.pn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15.png"/></Relationships>
</file>

<file path=xl/drawings/_rels/vmlDrawing14.vml.rels><?xml version="1.0" encoding="UTF-8" standalone="yes"?>
<Relationships xmlns="http://schemas.openxmlformats.org/package/2006/relationships"><Relationship Id="rId1" Type="http://schemas.openxmlformats.org/officeDocument/2006/relationships/image" Target="../media/image15.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5.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5.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5.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5.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5.png"/></Relationships>
</file>

<file path=xl/drawings/drawing1.xml><?xml version="1.0" encoding="utf-8"?>
<xdr:wsDr xmlns:xdr="http://schemas.openxmlformats.org/drawingml/2006/spreadsheetDrawing" xmlns:a="http://schemas.openxmlformats.org/drawingml/2006/main">
  <xdr:twoCellAnchor editAs="oneCell">
    <xdr:from>
      <xdr:col>0</xdr:col>
      <xdr:colOff>15240</xdr:colOff>
      <xdr:row>0</xdr:row>
      <xdr:rowOff>22860</xdr:rowOff>
    </xdr:from>
    <xdr:to>
      <xdr:col>3</xdr:col>
      <xdr:colOff>711066</xdr:colOff>
      <xdr:row>4</xdr:row>
      <xdr:rowOff>144780</xdr:rowOff>
    </xdr:to>
    <xdr:pic>
      <xdr:nvPicPr>
        <xdr:cNvPr id="4" name="Grafik 3" descr="innovaphon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 y="22860"/>
          <a:ext cx="3858126" cy="7924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22860</xdr:colOff>
      <xdr:row>0</xdr:row>
      <xdr:rowOff>7620</xdr:rowOff>
    </xdr:from>
    <xdr:to>
      <xdr:col>2</xdr:col>
      <xdr:colOff>797102</xdr:colOff>
      <xdr:row>0</xdr:row>
      <xdr:rowOff>554820</xdr:rowOff>
    </xdr:to>
    <xdr:pic>
      <xdr:nvPicPr>
        <xdr:cNvPr id="4" name="Grafik 3" descr="innovaphon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 y="7620"/>
          <a:ext cx="2664002" cy="547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167640</xdr:colOff>
      <xdr:row>0</xdr:row>
      <xdr:rowOff>45720</xdr:rowOff>
    </xdr:from>
    <xdr:to>
      <xdr:col>0</xdr:col>
      <xdr:colOff>1146048</xdr:colOff>
      <xdr:row>2</xdr:row>
      <xdr:rowOff>12192</xdr:rowOff>
    </xdr:to>
    <xdr:sp macro="" textlink="">
      <xdr:nvSpPr>
        <xdr:cNvPr id="3" name="Pfeil nach links 2">
          <a:hlinkClick xmlns:r="http://schemas.openxmlformats.org/officeDocument/2006/relationships" r:id="rId1"/>
        </xdr:cNvPr>
        <xdr:cNvSpPr/>
      </xdr:nvSpPr>
      <xdr:spPr>
        <a:xfrm>
          <a:off x="167640" y="45720"/>
          <a:ext cx="978408" cy="484632"/>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DE" sz="1400" b="1"/>
            <a:t>Zurück</a:t>
          </a:r>
        </a:p>
      </xdr:txBody>
    </xdr:sp>
    <xdr:clientData/>
  </xdr:twoCellAnchor>
  <xdr:twoCellAnchor>
    <xdr:from>
      <xdr:col>0</xdr:col>
      <xdr:colOff>167640</xdr:colOff>
      <xdr:row>0</xdr:row>
      <xdr:rowOff>45720</xdr:rowOff>
    </xdr:from>
    <xdr:to>
      <xdr:col>0</xdr:col>
      <xdr:colOff>1146048</xdr:colOff>
      <xdr:row>2</xdr:row>
      <xdr:rowOff>12192</xdr:rowOff>
    </xdr:to>
    <xdr:sp macro="" textlink="">
      <xdr:nvSpPr>
        <xdr:cNvPr id="5" name="Pfeil nach links 4">
          <a:hlinkClick xmlns:r="http://schemas.openxmlformats.org/officeDocument/2006/relationships" r:id="rId2"/>
        </xdr:cNvPr>
        <xdr:cNvSpPr/>
      </xdr:nvSpPr>
      <xdr:spPr>
        <a:xfrm>
          <a:off x="167640" y="45720"/>
          <a:ext cx="978408" cy="484632"/>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DE" sz="1400" b="1"/>
            <a:t>back</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454449</xdr:colOff>
      <xdr:row>3</xdr:row>
      <xdr:rowOff>151553</xdr:rowOff>
    </xdr:from>
    <xdr:to>
      <xdr:col>2</xdr:col>
      <xdr:colOff>692574</xdr:colOff>
      <xdr:row>5</xdr:row>
      <xdr:rowOff>216747</xdr:rowOff>
    </xdr:to>
    <xdr:pic>
      <xdr:nvPicPr>
        <xdr:cNvPr id="10437" name="Grafik 2" descr="http://www.innovaphone.com/content/images/innovaphone_VoIP_Gateway_IP800.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4449" y="1355513"/>
          <a:ext cx="1762125" cy="1124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571500</xdr:colOff>
      <xdr:row>52</xdr:row>
      <xdr:rowOff>19050</xdr:rowOff>
    </xdr:from>
    <xdr:to>
      <xdr:col>2</xdr:col>
      <xdr:colOff>981075</xdr:colOff>
      <xdr:row>53</xdr:row>
      <xdr:rowOff>9525</xdr:rowOff>
    </xdr:to>
    <xdr:pic>
      <xdr:nvPicPr>
        <xdr:cNvPr id="10438" name="Grafik 3" descr="http://www.pcgameshardware.de/screenshots/250x375/2008/09/strom-signet.jpg"/>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057400" y="18221325"/>
          <a:ext cx="409575"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666751</xdr:colOff>
      <xdr:row>24</xdr:row>
      <xdr:rowOff>85408</xdr:rowOff>
    </xdr:from>
    <xdr:to>
      <xdr:col>1</xdr:col>
      <xdr:colOff>473218</xdr:colOff>
      <xdr:row>26</xdr:row>
      <xdr:rowOff>160963</xdr:rowOff>
    </xdr:to>
    <xdr:pic>
      <xdr:nvPicPr>
        <xdr:cNvPr id="10439" name="Grafik 4" descr="IP-Telefon IP232">
          <a:hlinkClick xmlns:r="http://schemas.openxmlformats.org/officeDocument/2006/relationships" r:id="rId4"/>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666751" y="9244648"/>
          <a:ext cx="568467" cy="435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22860</xdr:colOff>
      <xdr:row>24</xdr:row>
      <xdr:rowOff>70326</xdr:rowOff>
    </xdr:from>
    <xdr:to>
      <xdr:col>0</xdr:col>
      <xdr:colOff>601980</xdr:colOff>
      <xdr:row>26</xdr:row>
      <xdr:rowOff>154517</xdr:rowOff>
    </xdr:to>
    <xdr:pic>
      <xdr:nvPicPr>
        <xdr:cNvPr id="10440" name="Grafik 6" descr="IP-Telefon IP222">
          <a:hlinkClick xmlns:r="http://schemas.openxmlformats.org/officeDocument/2006/relationships" r:id="rId4"/>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22860" y="9229566"/>
          <a:ext cx="579120" cy="4347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59055</xdr:colOff>
      <xdr:row>27</xdr:row>
      <xdr:rowOff>72390</xdr:rowOff>
    </xdr:from>
    <xdr:to>
      <xdr:col>0</xdr:col>
      <xdr:colOff>625436</xdr:colOff>
      <xdr:row>29</xdr:row>
      <xdr:rowOff>157470</xdr:rowOff>
    </xdr:to>
    <xdr:pic>
      <xdr:nvPicPr>
        <xdr:cNvPr id="10441" name="Grafik 7" descr="IP-Telefon IP240">
          <a:hlinkClick xmlns:r="http://schemas.openxmlformats.org/officeDocument/2006/relationships" r:id="rId4"/>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59055" y="9757410"/>
          <a:ext cx="566381" cy="435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716280</xdr:colOff>
      <xdr:row>27</xdr:row>
      <xdr:rowOff>68580</xdr:rowOff>
    </xdr:from>
    <xdr:to>
      <xdr:col>1</xdr:col>
      <xdr:colOff>526923</xdr:colOff>
      <xdr:row>29</xdr:row>
      <xdr:rowOff>153660</xdr:rowOff>
    </xdr:to>
    <xdr:pic>
      <xdr:nvPicPr>
        <xdr:cNvPr id="10442" name="Grafik 8" descr="IP-Telefon IP241">
          <a:hlinkClick xmlns:r="http://schemas.openxmlformats.org/officeDocument/2006/relationships" r:id="rId4"/>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716280" y="9753600"/>
          <a:ext cx="572643" cy="435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219075</xdr:colOff>
      <xdr:row>42</xdr:row>
      <xdr:rowOff>152400</xdr:rowOff>
    </xdr:from>
    <xdr:to>
      <xdr:col>2</xdr:col>
      <xdr:colOff>79534</xdr:colOff>
      <xdr:row>46</xdr:row>
      <xdr:rowOff>69850</xdr:rowOff>
    </xdr:to>
    <xdr:pic>
      <xdr:nvPicPr>
        <xdr:cNvPr id="10445" name="Grafik 10" descr="IP-Adapter IP24">
          <a:hlinkClick xmlns:r="http://schemas.openxmlformats.org/officeDocument/2006/relationships" r:id="rId9"/>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219075" y="13083540"/>
          <a:ext cx="1384459" cy="1144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571501</xdr:colOff>
      <xdr:row>24</xdr:row>
      <xdr:rowOff>101291</xdr:rowOff>
    </xdr:from>
    <xdr:to>
      <xdr:col>2</xdr:col>
      <xdr:colOff>344312</xdr:colOff>
      <xdr:row>27</xdr:row>
      <xdr:rowOff>11111</xdr:rowOff>
    </xdr:to>
    <xdr:pic>
      <xdr:nvPicPr>
        <xdr:cNvPr id="2" name="Grafik 1">
          <a:hlinkClick xmlns:r="http://schemas.openxmlformats.org/officeDocument/2006/relationships" r:id="rId4"/>
        </xdr:cNvPr>
        <xdr:cNvPicPr>
          <a:picLocks noChangeAspect="1"/>
        </xdr:cNvPicPr>
      </xdr:nvPicPr>
      <xdr:blipFill rotWithShape="1">
        <a:blip xmlns:r="http://schemas.openxmlformats.org/officeDocument/2006/relationships" r:embed="rId11" cstate="print">
          <a:extLst>
            <a:ext uri="{28A0092B-C50C-407E-A947-70E740481C1C}">
              <a14:useLocalDpi xmlns:a14="http://schemas.microsoft.com/office/drawing/2010/main" val="0"/>
            </a:ext>
          </a:extLst>
        </a:blip>
        <a:srcRect l="12607" t="3444" r="21492" b="15889"/>
        <a:stretch/>
      </xdr:blipFill>
      <xdr:spPr>
        <a:xfrm>
          <a:off x="1333501" y="9260531"/>
          <a:ext cx="534811" cy="435600"/>
        </a:xfrm>
        <a:prstGeom prst="rect">
          <a:avLst/>
        </a:prstGeom>
      </xdr:spPr>
    </xdr:pic>
    <xdr:clientData/>
  </xdr:twoCellAnchor>
  <xdr:twoCellAnchor editAs="oneCell">
    <xdr:from>
      <xdr:col>0</xdr:col>
      <xdr:colOff>365760</xdr:colOff>
      <xdr:row>35</xdr:row>
      <xdr:rowOff>22859</xdr:rowOff>
    </xdr:from>
    <xdr:to>
      <xdr:col>1</xdr:col>
      <xdr:colOff>82183</xdr:colOff>
      <xdr:row>36</xdr:row>
      <xdr:rowOff>349710</xdr:rowOff>
    </xdr:to>
    <xdr:pic>
      <xdr:nvPicPr>
        <xdr:cNvPr id="14" name="Grafik 13">
          <a:hlinkClick xmlns:r="http://schemas.openxmlformats.org/officeDocument/2006/relationships" r:id="rId12"/>
        </xdr:cNvPr>
        <xdr:cNvPicPr>
          <a:picLocks noChangeAspect="1"/>
        </xdr:cNvPicPr>
      </xdr:nvPicPr>
      <xdr:blipFill>
        <a:blip xmlns:r="http://schemas.openxmlformats.org/officeDocument/2006/relationships" r:embed="rId13" cstate="print">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365760" y="10081259"/>
          <a:ext cx="478423" cy="540211"/>
        </a:xfrm>
        <a:prstGeom prst="rect">
          <a:avLst/>
        </a:prstGeom>
        <a:ln>
          <a:noFill/>
        </a:ln>
        <a:effectLst>
          <a:outerShdw blurRad="292100" dist="139700" dir="2700000" algn="tl" rotWithShape="0">
            <a:srgbClr val="333333">
              <a:alpha val="65000"/>
            </a:srgbClr>
          </a:outerShdw>
        </a:effectLst>
      </xdr:spPr>
    </xdr:pic>
    <xdr:clientData/>
  </xdr:twoCellAnchor>
  <xdr:twoCellAnchor editAs="oneCell">
    <xdr:from>
      <xdr:col>1</xdr:col>
      <xdr:colOff>571500</xdr:colOff>
      <xdr:row>27</xdr:row>
      <xdr:rowOff>68580</xdr:rowOff>
    </xdr:from>
    <xdr:to>
      <xdr:col>2</xdr:col>
      <xdr:colOff>384492</xdr:colOff>
      <xdr:row>29</xdr:row>
      <xdr:rowOff>153660</xdr:rowOff>
    </xdr:to>
    <xdr:pic>
      <xdr:nvPicPr>
        <xdr:cNvPr id="15" name="Grafik 14" descr="IP-Telefon IP150">
          <a:hlinkClick xmlns:r="http://schemas.openxmlformats.org/officeDocument/2006/relationships" r:id="rId4"/>
        </xdr:cNvPr>
        <xdr:cNvPicPr>
          <a:picLocks noChangeAspect="1" noChangeArrowheads="1"/>
        </xdr:cNvPicPr>
      </xdr:nvPicPr>
      <xdr:blipFill>
        <a:blip xmlns:r="http://schemas.openxmlformats.org/officeDocument/2006/relationships" r:embed="rId14" cstate="print">
          <a:extLst>
            <a:ext uri="{28A0092B-C50C-407E-A947-70E740481C1C}">
              <a14:useLocalDpi xmlns:a14="http://schemas.microsoft.com/office/drawing/2010/main" val="0"/>
            </a:ext>
          </a:extLst>
        </a:blip>
        <a:srcRect/>
        <a:stretch>
          <a:fillRect/>
        </a:stretch>
      </xdr:blipFill>
      <xdr:spPr bwMode="auto">
        <a:xfrm>
          <a:off x="1333500" y="9936480"/>
          <a:ext cx="574992" cy="435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22860</xdr:colOff>
      <xdr:row>0</xdr:row>
      <xdr:rowOff>7620</xdr:rowOff>
    </xdr:from>
    <xdr:to>
      <xdr:col>3</xdr:col>
      <xdr:colOff>103682</xdr:colOff>
      <xdr:row>0</xdr:row>
      <xdr:rowOff>554820</xdr:rowOff>
    </xdr:to>
    <xdr:pic>
      <xdr:nvPicPr>
        <xdr:cNvPr id="16" name="Grafik 15" descr="innovaphone"/>
        <xdr:cNvPicPr>
          <a:picLocks noChangeAspect="1" noChangeArrowheads="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22860" y="7620"/>
          <a:ext cx="2664002" cy="547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219075</xdr:colOff>
      <xdr:row>15</xdr:row>
      <xdr:rowOff>85725</xdr:rowOff>
    </xdr:from>
    <xdr:to>
      <xdr:col>0</xdr:col>
      <xdr:colOff>2009775</xdr:colOff>
      <xdr:row>21</xdr:row>
      <xdr:rowOff>164254</xdr:rowOff>
    </xdr:to>
    <xdr:pic>
      <xdr:nvPicPr>
        <xdr:cNvPr id="3597" name="Grafik 1" descr="http://www.innovaphone.com/content/images/innovaphone_unified_communications.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19075" y="6343650"/>
          <a:ext cx="1790700" cy="1247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200025</xdr:colOff>
      <xdr:row>3</xdr:row>
      <xdr:rowOff>38100</xdr:rowOff>
    </xdr:from>
    <xdr:to>
      <xdr:col>0</xdr:col>
      <xdr:colOff>1962150</xdr:colOff>
      <xdr:row>11</xdr:row>
      <xdr:rowOff>108585</xdr:rowOff>
    </xdr:to>
    <xdr:pic>
      <xdr:nvPicPr>
        <xdr:cNvPr id="3598" name="Grafik 2" descr="http://www.innovaphone.com/content/images/Komplettloesung_innovaphone_PBX_Webseite.jpg">
          <a:hlinkClick xmlns:r="http://schemas.openxmlformats.org/officeDocument/2006/relationships" r:id="rId3"/>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00025" y="1343025"/>
          <a:ext cx="1762125" cy="1685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22860</xdr:colOff>
      <xdr:row>0</xdr:row>
      <xdr:rowOff>7620</xdr:rowOff>
    </xdr:from>
    <xdr:to>
      <xdr:col>1</xdr:col>
      <xdr:colOff>378002</xdr:colOff>
      <xdr:row>0</xdr:row>
      <xdr:rowOff>554820</xdr:rowOff>
    </xdr:to>
    <xdr:pic>
      <xdr:nvPicPr>
        <xdr:cNvPr id="11" name="Grafik 10" descr="innovaphone"/>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22860" y="7620"/>
          <a:ext cx="2664002" cy="547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347123</xdr:colOff>
      <xdr:row>3</xdr:row>
      <xdr:rowOff>9525</xdr:rowOff>
    </xdr:from>
    <xdr:to>
      <xdr:col>0</xdr:col>
      <xdr:colOff>1947323</xdr:colOff>
      <xdr:row>9</xdr:row>
      <xdr:rowOff>120650</xdr:rowOff>
    </xdr:to>
    <xdr:pic>
      <xdr:nvPicPr>
        <xdr:cNvPr id="2267" name="Grafik 2" descr="Wireless IP1202">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47123" y="1017058"/>
          <a:ext cx="1600200" cy="1338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829734</xdr:colOff>
      <xdr:row>51</xdr:row>
      <xdr:rowOff>270938</xdr:rowOff>
    </xdr:from>
    <xdr:to>
      <xdr:col>0</xdr:col>
      <xdr:colOff>1393614</xdr:colOff>
      <xdr:row>59</xdr:row>
      <xdr:rowOff>111764</xdr:rowOff>
    </xdr:to>
    <xdr:pic>
      <xdr:nvPicPr>
        <xdr:cNvPr id="5" name="Grafik 4" descr="http://www.innovaphone.com/content/images/innovaphone_DECT_IP62.jpg">
          <a:hlinkClick xmlns:r="http://schemas.openxmlformats.org/officeDocument/2006/relationships" r:id="rId3"/>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829734" y="19058471"/>
          <a:ext cx="563880" cy="14325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22860</xdr:colOff>
      <xdr:row>0</xdr:row>
      <xdr:rowOff>7620</xdr:rowOff>
    </xdr:from>
    <xdr:to>
      <xdr:col>1</xdr:col>
      <xdr:colOff>378002</xdr:colOff>
      <xdr:row>0</xdr:row>
      <xdr:rowOff>554820</xdr:rowOff>
    </xdr:to>
    <xdr:pic>
      <xdr:nvPicPr>
        <xdr:cNvPr id="7" name="Grafik 6" descr="innovaphone"/>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22860" y="7620"/>
          <a:ext cx="2664002" cy="547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777240</xdr:colOff>
      <xdr:row>16</xdr:row>
      <xdr:rowOff>106680</xdr:rowOff>
    </xdr:from>
    <xdr:to>
      <xdr:col>0</xdr:col>
      <xdr:colOff>1424142</xdr:colOff>
      <xdr:row>19</xdr:row>
      <xdr:rowOff>445423</xdr:rowOff>
    </xdr:to>
    <xdr:pic>
      <xdr:nvPicPr>
        <xdr:cNvPr id="8" name="Grafik 7">
          <a:hlinkClick xmlns:r="http://schemas.openxmlformats.org/officeDocument/2006/relationships" r:id="rId6"/>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777240" y="4122420"/>
          <a:ext cx="646902" cy="139030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22860</xdr:colOff>
      <xdr:row>0</xdr:row>
      <xdr:rowOff>7620</xdr:rowOff>
    </xdr:from>
    <xdr:to>
      <xdr:col>2</xdr:col>
      <xdr:colOff>202742</xdr:colOff>
      <xdr:row>0</xdr:row>
      <xdr:rowOff>554820</xdr:rowOff>
    </xdr:to>
    <xdr:pic>
      <xdr:nvPicPr>
        <xdr:cNvPr id="3" name="Grafik 2" descr="innovaphon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 y="7620"/>
          <a:ext cx="2664002" cy="547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5</xdr:col>
      <xdr:colOff>114300</xdr:colOff>
      <xdr:row>8</xdr:row>
      <xdr:rowOff>167640</xdr:rowOff>
    </xdr:from>
    <xdr:to>
      <xdr:col>5</xdr:col>
      <xdr:colOff>373380</xdr:colOff>
      <xdr:row>10</xdr:row>
      <xdr:rowOff>4572</xdr:rowOff>
    </xdr:to>
    <xdr:sp macro="" textlink="">
      <xdr:nvSpPr>
        <xdr:cNvPr id="3" name="Pfeil nach rechts 2">
          <a:hlinkClick xmlns:r="http://schemas.openxmlformats.org/officeDocument/2006/relationships" r:id="rId1"/>
        </xdr:cNvPr>
        <xdr:cNvSpPr/>
      </xdr:nvSpPr>
      <xdr:spPr>
        <a:xfrm>
          <a:off x="5974080" y="5128260"/>
          <a:ext cx="259080" cy="18745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editAs="oneCell">
    <xdr:from>
      <xdr:col>0</xdr:col>
      <xdr:colOff>22860</xdr:colOff>
      <xdr:row>0</xdr:row>
      <xdr:rowOff>7620</xdr:rowOff>
    </xdr:from>
    <xdr:to>
      <xdr:col>1</xdr:col>
      <xdr:colOff>1581962</xdr:colOff>
      <xdr:row>0</xdr:row>
      <xdr:rowOff>554820</xdr:rowOff>
    </xdr:to>
    <xdr:pic>
      <xdr:nvPicPr>
        <xdr:cNvPr id="4" name="Grafik 3" descr="innovaphon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2860" y="7620"/>
          <a:ext cx="2664002" cy="547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22860</xdr:colOff>
      <xdr:row>0</xdr:row>
      <xdr:rowOff>7620</xdr:rowOff>
    </xdr:from>
    <xdr:to>
      <xdr:col>2</xdr:col>
      <xdr:colOff>118922</xdr:colOff>
      <xdr:row>0</xdr:row>
      <xdr:rowOff>554820</xdr:rowOff>
    </xdr:to>
    <xdr:pic>
      <xdr:nvPicPr>
        <xdr:cNvPr id="3" name="Grafik 2" descr="innovaphon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 y="7620"/>
          <a:ext cx="2664002" cy="547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22860</xdr:colOff>
      <xdr:row>0</xdr:row>
      <xdr:rowOff>7620</xdr:rowOff>
    </xdr:from>
    <xdr:to>
      <xdr:col>2</xdr:col>
      <xdr:colOff>1132382</xdr:colOff>
      <xdr:row>0</xdr:row>
      <xdr:rowOff>554820</xdr:rowOff>
    </xdr:to>
    <xdr:pic>
      <xdr:nvPicPr>
        <xdr:cNvPr id="4" name="Grafik 3" descr="innovaphon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 y="7620"/>
          <a:ext cx="2664002" cy="547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22860</xdr:colOff>
      <xdr:row>0</xdr:row>
      <xdr:rowOff>7620</xdr:rowOff>
    </xdr:from>
    <xdr:to>
      <xdr:col>2</xdr:col>
      <xdr:colOff>797102</xdr:colOff>
      <xdr:row>0</xdr:row>
      <xdr:rowOff>554820</xdr:rowOff>
    </xdr:to>
    <xdr:pic>
      <xdr:nvPicPr>
        <xdr:cNvPr id="5" name="Grafik 4" descr="innovaphon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 y="7620"/>
          <a:ext cx="2664002" cy="547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4.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omments" Target="../comments1.xm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omments" Target="../comments2.xml"/><Relationship Id="rId4" Type="http://schemas.openxmlformats.org/officeDocument/2006/relationships/vmlDrawing" Target="../drawings/vmlDrawing4.v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comments" Target="../comments3.xml"/><Relationship Id="rId4" Type="http://schemas.openxmlformats.org/officeDocument/2006/relationships/vmlDrawing" Target="../drawings/vmlDrawing6.v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9.xml"/><Relationship Id="rId1" Type="http://schemas.openxmlformats.org/officeDocument/2006/relationships/printerSettings" Target="../printerSettings/printerSettings9.bin"/><Relationship Id="rId5" Type="http://schemas.openxmlformats.org/officeDocument/2006/relationships/comments" Target="../comments4.xml"/><Relationship Id="rId4" Type="http://schemas.openxmlformats.org/officeDocument/2006/relationships/vmlDrawing" Target="../drawings/vmlDrawing1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
  <sheetViews>
    <sheetView tabSelected="1" workbookViewId="0">
      <selection activeCell="E13" sqref="E13"/>
    </sheetView>
  </sheetViews>
  <sheetFormatPr baseColWidth="10" defaultColWidth="11.5546875" defaultRowHeight="13.2" x14ac:dyDescent="0.25"/>
  <cols>
    <col min="1" max="1" width="23" style="279" bestFit="1" customWidth="1"/>
    <col min="2" max="16384" width="11.5546875" style="279"/>
  </cols>
  <sheetData>
    <row r="1" spans="1:10" x14ac:dyDescent="0.25">
      <c r="A1" s="280"/>
      <c r="B1" s="280"/>
      <c r="C1" s="280"/>
      <c r="D1" s="280"/>
      <c r="E1" s="280"/>
      <c r="F1" s="280"/>
      <c r="G1" s="280"/>
      <c r="H1" s="280"/>
      <c r="I1" s="280"/>
      <c r="J1" s="280"/>
    </row>
    <row r="2" spans="1:10" x14ac:dyDescent="0.25">
      <c r="A2" s="280"/>
      <c r="B2" s="280"/>
      <c r="C2" s="280"/>
      <c r="D2" s="280"/>
      <c r="E2" s="280"/>
      <c r="F2" s="280"/>
      <c r="G2" s="280"/>
      <c r="H2" s="280"/>
      <c r="I2" s="280"/>
      <c r="J2" s="280"/>
    </row>
    <row r="3" spans="1:10" x14ac:dyDescent="0.25">
      <c r="A3" s="280"/>
      <c r="B3" s="281"/>
      <c r="C3" s="280"/>
      <c r="D3" s="280"/>
      <c r="E3" s="280"/>
      <c r="F3" s="280"/>
      <c r="G3" s="281" t="s">
        <v>316</v>
      </c>
      <c r="H3" s="280"/>
      <c r="I3" s="280"/>
      <c r="J3" s="280"/>
    </row>
    <row r="4" spans="1:10" x14ac:dyDescent="0.25">
      <c r="A4" s="280"/>
      <c r="B4" s="280"/>
      <c r="C4" s="280"/>
      <c r="D4" s="280"/>
      <c r="E4" s="280"/>
      <c r="F4" s="280"/>
      <c r="G4" s="280"/>
      <c r="H4" s="280"/>
      <c r="I4" s="280"/>
      <c r="J4" s="280"/>
    </row>
    <row r="5" spans="1:10" x14ac:dyDescent="0.25">
      <c r="A5" s="280"/>
      <c r="B5" s="280"/>
      <c r="C5" s="280"/>
      <c r="D5" s="280"/>
      <c r="E5" s="280"/>
      <c r="F5" s="280"/>
      <c r="G5" s="280"/>
      <c r="H5" s="280"/>
      <c r="I5" s="280"/>
      <c r="J5" s="280"/>
    </row>
    <row r="6" spans="1:10" x14ac:dyDescent="0.25">
      <c r="A6" s="282"/>
      <c r="B6" s="282"/>
      <c r="C6" s="282"/>
      <c r="D6" s="282"/>
      <c r="E6" s="282"/>
      <c r="F6" s="282"/>
      <c r="G6" s="282"/>
      <c r="H6" s="282"/>
      <c r="I6" s="282"/>
      <c r="J6" s="282"/>
    </row>
    <row r="7" spans="1:10" x14ac:dyDescent="0.25">
      <c r="A7" s="282"/>
      <c r="B7" s="282"/>
      <c r="C7" s="282"/>
      <c r="D7" s="282"/>
      <c r="E7" s="282"/>
      <c r="F7" s="282"/>
      <c r="G7" s="282"/>
      <c r="H7" s="282"/>
      <c r="I7" s="282"/>
      <c r="J7" s="282"/>
    </row>
    <row r="8" spans="1:10" ht="18" x14ac:dyDescent="0.35">
      <c r="A8" s="647" t="s">
        <v>768</v>
      </c>
      <c r="B8" s="647"/>
      <c r="C8" s="647"/>
      <c r="D8" s="647"/>
      <c r="E8" s="647"/>
      <c r="F8" s="647"/>
      <c r="G8" s="647"/>
      <c r="H8" s="647"/>
      <c r="I8" s="647"/>
      <c r="J8" s="647"/>
    </row>
    <row r="9" spans="1:10" ht="14.4" x14ac:dyDescent="0.3">
      <c r="A9" s="648" t="s">
        <v>909</v>
      </c>
      <c r="B9" s="648"/>
      <c r="C9" s="648"/>
      <c r="D9" s="648"/>
      <c r="E9" s="648"/>
      <c r="F9" s="648"/>
      <c r="G9" s="648"/>
      <c r="H9" s="648"/>
      <c r="I9" s="648"/>
      <c r="J9" s="648"/>
    </row>
    <row r="10" spans="1:10" x14ac:dyDescent="0.25">
      <c r="A10" s="282"/>
      <c r="B10" s="282"/>
      <c r="C10" s="282"/>
      <c r="D10" s="282"/>
      <c r="E10" s="282"/>
      <c r="F10" s="282"/>
      <c r="G10" s="282"/>
      <c r="H10" s="282"/>
      <c r="I10" s="282"/>
      <c r="J10" s="282"/>
    </row>
    <row r="11" spans="1:10" x14ac:dyDescent="0.25">
      <c r="A11" s="290" t="s">
        <v>314</v>
      </c>
      <c r="B11" s="282"/>
      <c r="C11" s="282"/>
      <c r="D11" s="282"/>
      <c r="E11" s="282"/>
      <c r="F11" s="282"/>
      <c r="G11" s="282"/>
      <c r="H11" s="282"/>
      <c r="I11" s="282"/>
      <c r="J11" s="282"/>
    </row>
    <row r="12" spans="1:10" x14ac:dyDescent="0.25">
      <c r="A12" s="603" t="s">
        <v>510</v>
      </c>
      <c r="B12" s="646" t="s">
        <v>321</v>
      </c>
      <c r="C12" s="645"/>
      <c r="D12" s="645"/>
      <c r="E12" s="282"/>
      <c r="F12" s="282"/>
      <c r="G12" s="282"/>
      <c r="H12" s="282"/>
      <c r="I12" s="282"/>
      <c r="J12" s="282"/>
    </row>
    <row r="13" spans="1:10" x14ac:dyDescent="0.25">
      <c r="A13" s="603" t="s">
        <v>511</v>
      </c>
      <c r="B13" s="646"/>
      <c r="C13" s="645"/>
      <c r="D13" s="645"/>
      <c r="E13" s="282"/>
      <c r="F13" s="282"/>
      <c r="G13" s="282"/>
      <c r="H13" s="282"/>
      <c r="I13" s="282"/>
      <c r="J13" s="282"/>
    </row>
    <row r="14" spans="1:10" x14ac:dyDescent="0.25">
      <c r="A14" s="282" t="s">
        <v>317</v>
      </c>
      <c r="B14" s="645"/>
      <c r="C14" s="645"/>
      <c r="D14" s="645"/>
      <c r="E14" s="282"/>
      <c r="F14" s="282"/>
      <c r="G14" s="282"/>
      <c r="H14" s="282"/>
      <c r="I14" s="282"/>
      <c r="J14" s="282"/>
    </row>
    <row r="15" spans="1:10" x14ac:dyDescent="0.25">
      <c r="A15" s="603" t="s">
        <v>512</v>
      </c>
      <c r="B15" s="645"/>
      <c r="C15" s="645"/>
      <c r="D15" s="645"/>
      <c r="E15" s="282"/>
      <c r="F15" s="282"/>
      <c r="G15" s="282"/>
      <c r="H15" s="282"/>
      <c r="I15" s="282"/>
      <c r="J15" s="282"/>
    </row>
    <row r="16" spans="1:10" x14ac:dyDescent="0.25">
      <c r="A16" s="282"/>
      <c r="B16" s="282"/>
      <c r="C16" s="282"/>
      <c r="D16" s="282"/>
      <c r="E16" s="282"/>
      <c r="F16" s="282"/>
      <c r="G16" s="282"/>
      <c r="H16" s="282"/>
      <c r="I16" s="282"/>
      <c r="J16" s="282"/>
    </row>
    <row r="17" spans="1:10" x14ac:dyDescent="0.25">
      <c r="A17" s="290" t="s">
        <v>513</v>
      </c>
      <c r="B17" s="282"/>
      <c r="C17" s="282"/>
      <c r="D17" s="282"/>
      <c r="E17" s="282"/>
      <c r="F17" s="282"/>
      <c r="G17" s="282"/>
      <c r="H17" s="282"/>
      <c r="I17" s="282"/>
      <c r="J17" s="282"/>
    </row>
    <row r="18" spans="1:10" x14ac:dyDescent="0.25">
      <c r="A18" s="603" t="s">
        <v>510</v>
      </c>
      <c r="B18" s="646" t="s">
        <v>318</v>
      </c>
      <c r="C18" s="645"/>
      <c r="D18" s="645"/>
      <c r="E18" s="282"/>
      <c r="F18" s="282"/>
      <c r="G18" s="282"/>
      <c r="H18" s="282"/>
      <c r="I18" s="282"/>
      <c r="J18" s="282"/>
    </row>
    <row r="19" spans="1:10" x14ac:dyDescent="0.25">
      <c r="A19" s="603" t="s">
        <v>511</v>
      </c>
      <c r="B19" s="646"/>
      <c r="C19" s="645"/>
      <c r="D19" s="645"/>
      <c r="E19" s="282"/>
      <c r="F19" s="282"/>
      <c r="G19" s="282"/>
      <c r="H19" s="282"/>
      <c r="I19" s="282"/>
      <c r="J19" s="282"/>
    </row>
    <row r="20" spans="1:10" x14ac:dyDescent="0.25">
      <c r="A20" s="282" t="s">
        <v>317</v>
      </c>
      <c r="B20" s="645"/>
      <c r="C20" s="645"/>
      <c r="D20" s="645"/>
      <c r="E20" s="282"/>
      <c r="F20" s="282"/>
      <c r="G20" s="282"/>
      <c r="H20" s="282"/>
      <c r="I20" s="282"/>
      <c r="J20" s="282"/>
    </row>
    <row r="21" spans="1:10" x14ac:dyDescent="0.25">
      <c r="A21" s="603" t="s">
        <v>512</v>
      </c>
      <c r="B21" s="645"/>
      <c r="C21" s="645"/>
      <c r="D21" s="645"/>
      <c r="E21" s="282"/>
      <c r="F21" s="282"/>
      <c r="G21" s="282"/>
      <c r="H21" s="282"/>
      <c r="I21" s="282"/>
      <c r="J21" s="282"/>
    </row>
    <row r="22" spans="1:10" x14ac:dyDescent="0.25">
      <c r="A22" s="282"/>
      <c r="B22" s="282"/>
      <c r="C22" s="282"/>
      <c r="D22" s="282"/>
      <c r="E22" s="282"/>
      <c r="F22" s="282"/>
      <c r="G22" s="282"/>
      <c r="H22" s="282"/>
      <c r="I22" s="282"/>
      <c r="J22" s="282"/>
    </row>
    <row r="23" spans="1:10" x14ac:dyDescent="0.25">
      <c r="A23" s="290" t="s">
        <v>514</v>
      </c>
      <c r="B23" s="644">
        <v>42795</v>
      </c>
      <c r="C23" s="644"/>
      <c r="D23" s="644"/>
      <c r="E23" s="282"/>
      <c r="F23" s="282"/>
      <c r="G23" s="282"/>
      <c r="H23" s="282"/>
      <c r="I23" s="282"/>
      <c r="J23" s="282"/>
    </row>
    <row r="24" spans="1:10" x14ac:dyDescent="0.25">
      <c r="A24" s="282"/>
      <c r="B24" s="282"/>
      <c r="C24" s="282"/>
      <c r="D24" s="282"/>
      <c r="E24" s="282"/>
      <c r="F24" s="282"/>
      <c r="G24" s="282"/>
      <c r="H24" s="282"/>
      <c r="I24" s="282"/>
      <c r="J24" s="282"/>
    </row>
    <row r="25" spans="1:10" x14ac:dyDescent="0.25">
      <c r="A25" s="290" t="s">
        <v>515</v>
      </c>
      <c r="B25" s="644"/>
      <c r="C25" s="644"/>
      <c r="D25" s="644"/>
      <c r="E25" s="282"/>
      <c r="F25" s="282"/>
      <c r="G25" s="282"/>
      <c r="H25" s="282"/>
      <c r="I25" s="282"/>
      <c r="J25" s="282"/>
    </row>
    <row r="26" spans="1:10" x14ac:dyDescent="0.25">
      <c r="A26" s="282"/>
      <c r="B26" s="282"/>
      <c r="C26" s="282"/>
      <c r="D26" s="282"/>
      <c r="E26" s="282"/>
      <c r="F26" s="282"/>
      <c r="G26" s="282"/>
      <c r="H26" s="282"/>
      <c r="I26" s="282"/>
      <c r="J26" s="282"/>
    </row>
    <row r="27" spans="1:10" x14ac:dyDescent="0.25">
      <c r="A27" s="282"/>
      <c r="B27" s="282"/>
      <c r="C27" s="282"/>
      <c r="D27" s="282"/>
      <c r="E27" s="282"/>
      <c r="F27" s="282"/>
      <c r="G27" s="282"/>
      <c r="H27" s="282"/>
      <c r="I27" s="282"/>
      <c r="J27" s="282"/>
    </row>
    <row r="28" spans="1:10" x14ac:dyDescent="0.25">
      <c r="A28" s="282"/>
      <c r="B28" s="282"/>
      <c r="C28" s="282"/>
      <c r="D28" s="282"/>
      <c r="E28" s="282"/>
      <c r="F28" s="282"/>
      <c r="G28" s="282"/>
      <c r="H28" s="282"/>
      <c r="I28" s="282"/>
      <c r="J28" s="282"/>
    </row>
    <row r="29" spans="1:10" x14ac:dyDescent="0.25">
      <c r="A29" s="282"/>
      <c r="B29" s="282"/>
      <c r="C29" s="282"/>
      <c r="D29" s="282"/>
      <c r="E29" s="282"/>
      <c r="F29" s="282"/>
      <c r="G29" s="282"/>
      <c r="H29" s="282"/>
      <c r="I29" s="282"/>
      <c r="J29" s="282"/>
    </row>
    <row r="30" spans="1:10" x14ac:dyDescent="0.25">
      <c r="A30" s="282"/>
      <c r="B30" s="282"/>
      <c r="C30" s="282"/>
      <c r="D30" s="282"/>
      <c r="E30" s="282"/>
      <c r="F30" s="282"/>
      <c r="G30" s="282"/>
      <c r="H30" s="282"/>
      <c r="I30" s="282"/>
      <c r="J30" s="282"/>
    </row>
    <row r="31" spans="1:10" x14ac:dyDescent="0.25">
      <c r="A31" s="282"/>
      <c r="B31" s="282"/>
      <c r="C31" s="282"/>
      <c r="D31" s="282"/>
      <c r="E31" s="282"/>
      <c r="F31" s="282"/>
      <c r="G31" s="282"/>
      <c r="H31" s="282"/>
      <c r="I31" s="282"/>
      <c r="J31" s="282"/>
    </row>
    <row r="32" spans="1:10" x14ac:dyDescent="0.25">
      <c r="A32" s="604" t="s">
        <v>516</v>
      </c>
    </row>
    <row r="33" spans="1:1" x14ac:dyDescent="0.25">
      <c r="A33" s="604" t="s">
        <v>517</v>
      </c>
    </row>
  </sheetData>
  <sheetProtection password="EE20" sheet="1" objects="1" scenarios="1"/>
  <protectedRanges>
    <protectedRange sqref="B16:D17" name="Bereich1_1"/>
    <protectedRange sqref="B11:D15 B18:D21" name="Bereich1_2"/>
    <protectedRange sqref="B23:D23" name="Bereich1_2_3"/>
    <protectedRange sqref="B25:D25" name="Bereich1_2_4"/>
  </protectedRanges>
  <mergeCells count="12">
    <mergeCell ref="A8:J8"/>
    <mergeCell ref="A9:J9"/>
    <mergeCell ref="B12:D12"/>
    <mergeCell ref="B13:D13"/>
    <mergeCell ref="B18:D18"/>
    <mergeCell ref="B23:D23"/>
    <mergeCell ref="B25:D25"/>
    <mergeCell ref="B14:D14"/>
    <mergeCell ref="B15:D15"/>
    <mergeCell ref="B21:D21"/>
    <mergeCell ref="B20:D20"/>
    <mergeCell ref="B19:D19"/>
  </mergeCells>
  <pageMargins left="0.70866141732283472" right="0.70866141732283472" top="0.78740157480314965" bottom="0.78740157480314965" header="0.31496062992125984" footer="0.31496062992125984"/>
  <pageSetup paperSize="9" scale="90" orientation="landscape" verticalDpi="0" r:id="rId1"/>
  <headerFooter>
    <oddFooter>&amp;C&amp;P&amp;R&amp;D</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1"/>
  <sheetViews>
    <sheetView zoomScaleNormal="100" workbookViewId="0">
      <selection activeCell="E15" sqref="E15"/>
    </sheetView>
  </sheetViews>
  <sheetFormatPr baseColWidth="10" defaultColWidth="11.5546875" defaultRowHeight="13.8" x14ac:dyDescent="0.3"/>
  <cols>
    <col min="1" max="1" width="24.88671875" style="66" customWidth="1"/>
    <col min="2" max="2" width="2.6640625" style="66" customWidth="1"/>
    <col min="3" max="3" width="37.33203125" style="66" customWidth="1"/>
    <col min="4" max="4" width="16.33203125" style="66" customWidth="1"/>
    <col min="5" max="5" width="10.33203125" style="66" customWidth="1"/>
    <col min="6" max="6" width="17.33203125" style="66" customWidth="1"/>
    <col min="7" max="7" width="10.44140625" style="66" customWidth="1"/>
    <col min="8" max="8" width="16.109375" style="66" bestFit="1" customWidth="1"/>
    <col min="9" max="9" width="10.33203125" style="66" customWidth="1"/>
    <col min="10" max="10" width="14.6640625" style="66" bestFit="1" customWidth="1"/>
    <col min="11" max="16384" width="11.5546875" style="66"/>
  </cols>
  <sheetData>
    <row r="1" spans="1:10" ht="45" customHeight="1" x14ac:dyDescent="0.3">
      <c r="B1" s="283"/>
      <c r="D1" s="283"/>
      <c r="F1" s="283"/>
      <c r="H1" s="283"/>
      <c r="J1" s="283"/>
    </row>
    <row r="2" spans="1:10" ht="23.4" x14ac:dyDescent="0.45">
      <c r="A2" s="266" t="s">
        <v>820</v>
      </c>
    </row>
    <row r="3" spans="1:10" ht="14.4" thickBot="1" x14ac:dyDescent="0.35"/>
    <row r="4" spans="1:10" x14ac:dyDescent="0.3">
      <c r="A4" s="671" t="str">
        <f>'Customer Offer'!A4:B4</f>
        <v>Reseller</v>
      </c>
      <c r="B4" s="672"/>
      <c r="C4" s="287" t="str">
        <f>IF('Cover sheet'!B12&lt;&gt;"",'Cover sheet'!B12,"")</f>
        <v>Test AG</v>
      </c>
    </row>
    <row r="5" spans="1:10" x14ac:dyDescent="0.3">
      <c r="A5" s="673" t="str">
        <f>'Customer Offer'!A5:B5</f>
        <v>Customer</v>
      </c>
      <c r="B5" s="674"/>
      <c r="C5" s="288" t="str">
        <f>IF('Cover sheet'!B18&lt;&gt;"",'Cover sheet'!B18,"")</f>
        <v>ABC</v>
      </c>
    </row>
    <row r="6" spans="1:10" x14ac:dyDescent="0.3">
      <c r="A6" s="673" t="str">
        <f>'Customer Offer'!A6:B6</f>
        <v>Date</v>
      </c>
      <c r="B6" s="674"/>
      <c r="C6" s="637">
        <f>IF('Cover sheet'!B23&lt;&gt;"",'Cover sheet'!B23,"")</f>
        <v>42795</v>
      </c>
    </row>
    <row r="7" spans="1:10" ht="14.4" thickBot="1" x14ac:dyDescent="0.35">
      <c r="A7" s="675" t="str">
        <f>'Customer Offer'!A7:B7</f>
        <v>Valid until</v>
      </c>
      <c r="B7" s="676"/>
      <c r="C7" s="638" t="str">
        <f>IF('Cover sheet'!B25&lt;&gt;"",'Cover sheet'!B25,"")</f>
        <v/>
      </c>
    </row>
    <row r="8" spans="1:10" ht="14.4" thickBot="1" x14ac:dyDescent="0.35">
      <c r="A8" s="562"/>
      <c r="B8" s="563"/>
      <c r="C8" s="216"/>
    </row>
    <row r="9" spans="1:10" x14ac:dyDescent="0.3">
      <c r="A9" s="552" t="s">
        <v>839</v>
      </c>
      <c r="B9" s="553"/>
      <c r="C9" s="554"/>
    </row>
    <row r="10" spans="1:10" x14ac:dyDescent="0.3">
      <c r="A10" s="673" t="str">
        <f>'Customer Offer'!A10:B10</f>
        <v>Discount 1 (e.g. Hardware)</v>
      </c>
      <c r="B10" s="674"/>
      <c r="C10" s="361">
        <f>'Customer Offer'!C10</f>
        <v>0</v>
      </c>
    </row>
    <row r="11" spans="1:10" x14ac:dyDescent="0.3">
      <c r="A11" s="673" t="str">
        <f>'Customer Offer'!A11:B11</f>
        <v>Discount 2 (e.g: Software)</v>
      </c>
      <c r="B11" s="674"/>
      <c r="C11" s="361">
        <f>'Customer Offer'!C11</f>
        <v>0.05</v>
      </c>
    </row>
    <row r="12" spans="1:10" x14ac:dyDescent="0.3">
      <c r="A12" s="673" t="str">
        <f>'Customer Offer'!A12:B12</f>
        <v>Discount 3 (e.g: SSA)</v>
      </c>
      <c r="B12" s="674"/>
      <c r="C12" s="361">
        <f>'Customer Offer'!C12</f>
        <v>0.08</v>
      </c>
    </row>
    <row r="13" spans="1:10" x14ac:dyDescent="0.3">
      <c r="A13" s="673" t="str">
        <f>'Customer Offer'!A13:B13</f>
        <v>Discount 4 (e.g. Service)</v>
      </c>
      <c r="B13" s="674"/>
      <c r="C13" s="361">
        <f>'Customer Offer'!C13</f>
        <v>0.12</v>
      </c>
    </row>
    <row r="14" spans="1:10" x14ac:dyDescent="0.3">
      <c r="A14" s="673" t="str">
        <f>'Customer Offer'!A14:B14</f>
        <v>Discount 5</v>
      </c>
      <c r="B14" s="674"/>
      <c r="C14" s="361">
        <f>'Customer Offer'!C14</f>
        <v>0</v>
      </c>
    </row>
    <row r="15" spans="1:10" x14ac:dyDescent="0.3">
      <c r="A15" s="673" t="str">
        <f>'Customer Offer'!A15:B15</f>
        <v>Discount 6</v>
      </c>
      <c r="B15" s="674"/>
      <c r="C15" s="361">
        <f>'Customer Offer'!C15</f>
        <v>0</v>
      </c>
    </row>
    <row r="16" spans="1:10" ht="14.4" thickBot="1" x14ac:dyDescent="0.35">
      <c r="A16" s="675" t="str">
        <f>'Customer Offer'!A16:B16</f>
        <v>Discount 7</v>
      </c>
      <c r="B16" s="676"/>
      <c r="C16" s="362">
        <f>'Customer Offer'!C16</f>
        <v>0</v>
      </c>
    </row>
    <row r="17" spans="1:10" ht="14.4" thickBot="1" x14ac:dyDescent="0.35">
      <c r="A17" s="271"/>
      <c r="B17" s="271"/>
    </row>
    <row r="18" spans="1:10" ht="14.4" thickBot="1" x14ac:dyDescent="0.35">
      <c r="A18" s="579" t="s">
        <v>840</v>
      </c>
      <c r="B18" s="371"/>
      <c r="C18" s="372" t="s">
        <v>314</v>
      </c>
      <c r="E18" s="576" t="s">
        <v>842</v>
      </c>
    </row>
    <row r="19" spans="1:10" ht="13.95" customHeight="1" thickBot="1" x14ac:dyDescent="0.35">
      <c r="A19" s="564" t="s">
        <v>841</v>
      </c>
      <c r="B19" s="370"/>
      <c r="C19" s="373">
        <f>IF(C18="",0,IF(C18="Reseller",0.1,IF(C18="iAS Partner",0.2,IF(C18="iAR Partner",0.3,))))</f>
        <v>0.1</v>
      </c>
      <c r="E19" s="576" t="s">
        <v>843</v>
      </c>
    </row>
    <row r="20" spans="1:10" ht="14.4" thickBot="1" x14ac:dyDescent="0.35"/>
    <row r="21" spans="1:10" ht="28.2" thickBot="1" x14ac:dyDescent="0.35">
      <c r="A21" s="555" t="s">
        <v>519</v>
      </c>
      <c r="B21" s="556"/>
      <c r="C21" s="556"/>
      <c r="D21" s="557" t="s">
        <v>827</v>
      </c>
      <c r="E21" s="560" t="s">
        <v>828</v>
      </c>
      <c r="F21" s="561" t="s">
        <v>829</v>
      </c>
      <c r="G21" s="561" t="s">
        <v>844</v>
      </c>
      <c r="H21" s="561" t="s">
        <v>845</v>
      </c>
      <c r="I21" s="561" t="s">
        <v>846</v>
      </c>
      <c r="J21" s="561" t="s">
        <v>847</v>
      </c>
    </row>
    <row r="22" spans="1:10" x14ac:dyDescent="0.3">
      <c r="A22" s="417" t="str">
        <f>Overview!A4</f>
        <v>Hardware</v>
      </c>
      <c r="B22" s="558"/>
      <c r="C22" s="368"/>
      <c r="D22" s="559"/>
      <c r="E22" s="301"/>
      <c r="F22" s="301"/>
      <c r="G22" s="301"/>
      <c r="H22" s="301"/>
      <c r="I22" s="301"/>
      <c r="J22" s="301"/>
    </row>
    <row r="23" spans="1:10" x14ac:dyDescent="0.3">
      <c r="A23" s="546"/>
      <c r="B23" s="368"/>
      <c r="C23" s="368" t="str">
        <f>Overview!C5</f>
        <v>Gateways (incl. Accessories, w/o interfaces)</v>
      </c>
      <c r="D23" s="299">
        <f>Overview!D5</f>
        <v>0</v>
      </c>
      <c r="E23" s="363">
        <f>'Customer Offer'!E20</f>
        <v>0</v>
      </c>
      <c r="F23" s="255">
        <f>D23-(D23*E23)</f>
        <v>0</v>
      </c>
      <c r="G23" s="577">
        <f>$C$19</f>
        <v>0.1</v>
      </c>
      <c r="H23" s="255">
        <f>D23-(D23*G23)</f>
        <v>0</v>
      </c>
      <c r="I23" s="312" t="str">
        <f>IF(F23=0,"0",(F23/H23*100-100)/100)</f>
        <v>0</v>
      </c>
      <c r="J23" s="255">
        <f>F23-H23</f>
        <v>0</v>
      </c>
    </row>
    <row r="24" spans="1:10" x14ac:dyDescent="0.3">
      <c r="A24" s="546"/>
      <c r="B24" s="368"/>
      <c r="C24" s="368" t="str">
        <f>Overview!C6</f>
        <v xml:space="preserve">PRI, BRI and Channel Licenses </v>
      </c>
      <c r="D24" s="299">
        <f>Overview!D6</f>
        <v>0</v>
      </c>
      <c r="E24" s="363">
        <f>'Customer Offer'!E21</f>
        <v>0</v>
      </c>
      <c r="F24" s="255">
        <f>D24-(D24*E24)</f>
        <v>0</v>
      </c>
      <c r="G24" s="577">
        <f>$C$19</f>
        <v>0.1</v>
      </c>
      <c r="H24" s="255">
        <f>D24-(D24*G24)</f>
        <v>0</v>
      </c>
      <c r="I24" s="312" t="str">
        <f>IF(F24=0,"0",(F24/H24*100-100)/100)</f>
        <v>0</v>
      </c>
      <c r="J24" s="255">
        <f>F24-H24</f>
        <v>0</v>
      </c>
    </row>
    <row r="25" spans="1:10" x14ac:dyDescent="0.3">
      <c r="A25" s="546"/>
      <c r="B25" s="368"/>
      <c r="C25" s="368" t="str">
        <f>Overview!C7</f>
        <v>IP Phones (incl. Accessories)</v>
      </c>
      <c r="D25" s="299">
        <f>Overview!D7</f>
        <v>0</v>
      </c>
      <c r="E25" s="363">
        <f>'Customer Offer'!E22</f>
        <v>0</v>
      </c>
      <c r="F25" s="255">
        <f t="shared" ref="F25:F27" si="0">D25-(D25*E25)</f>
        <v>0</v>
      </c>
      <c r="G25" s="577">
        <f t="shared" ref="G25:G27" si="1">$C$19</f>
        <v>0.1</v>
      </c>
      <c r="H25" s="255">
        <f t="shared" ref="H25:H67" si="2">D25-(D25*G25)</f>
        <v>0</v>
      </c>
      <c r="I25" s="312" t="str">
        <f>IF(F25=0,"0",(F25/H25*100-100)/100)</f>
        <v>0</v>
      </c>
      <c r="J25" s="255">
        <f t="shared" ref="J25:J73" si="3">F25-H25</f>
        <v>0</v>
      </c>
    </row>
    <row r="26" spans="1:10" x14ac:dyDescent="0.3">
      <c r="A26" s="546"/>
      <c r="B26" s="368"/>
      <c r="C26" s="368" t="str">
        <f>Overview!C8</f>
        <v>Analogue Adapter (incl. Accessories)</v>
      </c>
      <c r="D26" s="299">
        <f>Overview!D8</f>
        <v>0</v>
      </c>
      <c r="E26" s="363">
        <f>'Customer Offer'!E23</f>
        <v>0</v>
      </c>
      <c r="F26" s="255">
        <f t="shared" si="0"/>
        <v>0</v>
      </c>
      <c r="G26" s="577">
        <f t="shared" si="1"/>
        <v>0.1</v>
      </c>
      <c r="H26" s="255">
        <f t="shared" si="2"/>
        <v>0</v>
      </c>
      <c r="I26" s="312" t="str">
        <f>IF(F26=0,"0",(F26/H26*100-100)/100)</f>
        <v>0</v>
      </c>
      <c r="J26" s="255">
        <f t="shared" si="3"/>
        <v>0</v>
      </c>
    </row>
    <row r="27" spans="1:10" ht="14.4" thickBot="1" x14ac:dyDescent="0.35">
      <c r="A27" s="546"/>
      <c r="B27" s="368"/>
      <c r="C27" s="368" t="str">
        <f>Overview!C9</f>
        <v>Power Supply (PSU, PoE Adapter, Power coord)</v>
      </c>
      <c r="D27" s="299">
        <f>Overview!D9</f>
        <v>0</v>
      </c>
      <c r="E27" s="363">
        <f>'Customer Offer'!E24</f>
        <v>0</v>
      </c>
      <c r="F27" s="255">
        <f t="shared" si="0"/>
        <v>0</v>
      </c>
      <c r="G27" s="577">
        <f t="shared" si="1"/>
        <v>0.1</v>
      </c>
      <c r="H27" s="255">
        <f t="shared" si="2"/>
        <v>0</v>
      </c>
      <c r="I27" s="312" t="str">
        <f>IF(F27=0,"0",(F27/H27*100-100)/100)</f>
        <v>0</v>
      </c>
      <c r="J27" s="255">
        <f t="shared" si="3"/>
        <v>0</v>
      </c>
    </row>
    <row r="28" spans="1:10" ht="14.4" thickBot="1" x14ac:dyDescent="0.35">
      <c r="A28" s="547" t="str">
        <f>Overview!A10</f>
        <v>Total Hardware</v>
      </c>
      <c r="B28" s="548"/>
      <c r="C28" s="549"/>
      <c r="D28" s="300">
        <f>SUM(D23:D27)</f>
        <v>0</v>
      </c>
      <c r="E28" s="364"/>
      <c r="F28" s="259">
        <f>SUM(F23:F27)</f>
        <v>0</v>
      </c>
      <c r="G28" s="367"/>
      <c r="H28" s="310">
        <f>SUM(H23:H27)</f>
        <v>0</v>
      </c>
      <c r="I28" s="313"/>
      <c r="J28" s="310">
        <f>SUM(J23:J27)</f>
        <v>0</v>
      </c>
    </row>
    <row r="29" spans="1:10" x14ac:dyDescent="0.3">
      <c r="A29" s="415" t="str">
        <f>Overview!A12</f>
        <v>PBX Licenses</v>
      </c>
      <c r="B29" s="544"/>
      <c r="C29" s="545"/>
      <c r="D29" s="303"/>
      <c r="E29" s="301"/>
      <c r="F29" s="301"/>
      <c r="G29" s="363"/>
      <c r="H29" s="255"/>
      <c r="I29" s="312"/>
      <c r="J29" s="255"/>
    </row>
    <row r="30" spans="1:10" x14ac:dyDescent="0.3">
      <c r="A30" s="546"/>
      <c r="B30" s="368"/>
      <c r="C30" s="368" t="str">
        <f>Overview!C13</f>
        <v>PBX Port Licenses</v>
      </c>
      <c r="D30" s="302">
        <f>Overview!D13</f>
        <v>0</v>
      </c>
      <c r="E30" s="363">
        <f>'Customer Offer'!E27</f>
        <v>0</v>
      </c>
      <c r="F30" s="255">
        <f t="shared" ref="F30:F74" si="4">D30-(D30*E30)</f>
        <v>0</v>
      </c>
      <c r="G30" s="577">
        <f t="shared" ref="G30:G32" si="5">$C$19</f>
        <v>0.1</v>
      </c>
      <c r="H30" s="255">
        <f t="shared" si="2"/>
        <v>0</v>
      </c>
      <c r="I30" s="312" t="str">
        <f>IF(F30=0,"0",(F30/H30*100-100)/100)</f>
        <v>0</v>
      </c>
      <c r="J30" s="255">
        <f t="shared" si="3"/>
        <v>0</v>
      </c>
    </row>
    <row r="31" spans="1:10" x14ac:dyDescent="0.3">
      <c r="A31" s="546"/>
      <c r="B31" s="368"/>
      <c r="C31" s="368" t="str">
        <f>Overview!C14</f>
        <v>Standby Licenses</v>
      </c>
      <c r="D31" s="302">
        <f>Overview!D14</f>
        <v>0</v>
      </c>
      <c r="E31" s="363">
        <f>'Customer Offer'!E28</f>
        <v>0</v>
      </c>
      <c r="F31" s="255">
        <f t="shared" si="4"/>
        <v>0</v>
      </c>
      <c r="G31" s="577">
        <f t="shared" si="5"/>
        <v>0.1</v>
      </c>
      <c r="H31" s="255">
        <f t="shared" si="2"/>
        <v>0</v>
      </c>
      <c r="I31" s="312" t="str">
        <f t="shared" ref="I31:I32" si="6">IF(F31=0,"0",(F31/H31*100-100)/100)</f>
        <v>0</v>
      </c>
      <c r="J31" s="255">
        <f t="shared" si="3"/>
        <v>0</v>
      </c>
    </row>
    <row r="32" spans="1:10" ht="14.4" thickBot="1" x14ac:dyDescent="0.35">
      <c r="A32" s="546"/>
      <c r="B32" s="368"/>
      <c r="C32" s="368" t="str">
        <f>Overview!C15</f>
        <v>IPVA Licenses</v>
      </c>
      <c r="D32" s="302">
        <f>Overview!D15</f>
        <v>0</v>
      </c>
      <c r="E32" s="363">
        <f>'Customer Offer'!E29</f>
        <v>0</v>
      </c>
      <c r="F32" s="255">
        <f t="shared" si="4"/>
        <v>0</v>
      </c>
      <c r="G32" s="577">
        <f t="shared" si="5"/>
        <v>0.1</v>
      </c>
      <c r="H32" s="255">
        <f t="shared" si="2"/>
        <v>0</v>
      </c>
      <c r="I32" s="312" t="str">
        <f t="shared" si="6"/>
        <v>0</v>
      </c>
      <c r="J32" s="255">
        <f t="shared" si="3"/>
        <v>0</v>
      </c>
    </row>
    <row r="33" spans="1:10" ht="14.4" thickBot="1" x14ac:dyDescent="0.35">
      <c r="A33" s="547" t="str">
        <f>Overview!A16</f>
        <v>Total PBX Licenses</v>
      </c>
      <c r="B33" s="548"/>
      <c r="C33" s="549"/>
      <c r="D33" s="300">
        <f>SUM(D30:D32)</f>
        <v>0</v>
      </c>
      <c r="E33" s="364"/>
      <c r="F33" s="259">
        <f>SUM(F30:F32)</f>
        <v>0</v>
      </c>
      <c r="G33" s="367"/>
      <c r="H33" s="310">
        <f>SUM(H30:H32)</f>
        <v>0</v>
      </c>
      <c r="I33" s="313"/>
      <c r="J33" s="310">
        <f>SUM(J30:J32)</f>
        <v>0</v>
      </c>
    </row>
    <row r="34" spans="1:10" x14ac:dyDescent="0.3">
      <c r="A34" s="415" t="str">
        <f>Overview!A18</f>
        <v>UC Licenses</v>
      </c>
      <c r="B34" s="544"/>
      <c r="C34" s="545"/>
      <c r="D34" s="303"/>
      <c r="E34" s="365"/>
      <c r="F34" s="255"/>
      <c r="G34" s="363"/>
      <c r="H34" s="255"/>
      <c r="I34" s="312"/>
      <c r="J34" s="255"/>
    </row>
    <row r="35" spans="1:10" x14ac:dyDescent="0.3">
      <c r="A35" s="546"/>
      <c r="B35" s="368"/>
      <c r="C35" s="368" t="str">
        <f>Overview!C19</f>
        <v>Voicemail Licenses</v>
      </c>
      <c r="D35" s="302">
        <f>Overview!D19</f>
        <v>0</v>
      </c>
      <c r="E35" s="363">
        <f>'Customer Offer'!E32</f>
        <v>0</v>
      </c>
      <c r="F35" s="255">
        <f t="shared" si="4"/>
        <v>0</v>
      </c>
      <c r="G35" s="577">
        <f t="shared" ref="G35:G42" si="7">$C$19</f>
        <v>0.1</v>
      </c>
      <c r="H35" s="255">
        <f t="shared" si="2"/>
        <v>0</v>
      </c>
      <c r="I35" s="312" t="str">
        <f t="shared" ref="I35:I41" si="8">IF(F35=0,"0",(F35/H35*100-100)/100)</f>
        <v>0</v>
      </c>
      <c r="J35" s="255">
        <f t="shared" si="3"/>
        <v>0</v>
      </c>
    </row>
    <row r="36" spans="1:10" x14ac:dyDescent="0.3">
      <c r="A36" s="546"/>
      <c r="B36" s="368"/>
      <c r="C36" s="368" t="str">
        <f>Overview!C20</f>
        <v>myPBX Licenses</v>
      </c>
      <c r="D36" s="302">
        <f>Overview!D20</f>
        <v>0</v>
      </c>
      <c r="E36" s="363">
        <f>'Customer Offer'!E33</f>
        <v>0</v>
      </c>
      <c r="F36" s="255">
        <f t="shared" si="4"/>
        <v>0</v>
      </c>
      <c r="G36" s="577">
        <f t="shared" si="7"/>
        <v>0.1</v>
      </c>
      <c r="H36" s="255">
        <f t="shared" si="2"/>
        <v>0</v>
      </c>
      <c r="I36" s="312" t="str">
        <f t="shared" si="8"/>
        <v>0</v>
      </c>
      <c r="J36" s="255">
        <f t="shared" si="3"/>
        <v>0</v>
      </c>
    </row>
    <row r="37" spans="1:10" x14ac:dyDescent="0.3">
      <c r="A37" s="546"/>
      <c r="B37" s="368"/>
      <c r="C37" s="368" t="str">
        <f>Overview!C21</f>
        <v>Video Licenses</v>
      </c>
      <c r="D37" s="302">
        <f>Overview!D21</f>
        <v>0</v>
      </c>
      <c r="E37" s="363">
        <f>'Customer Offer'!E34</f>
        <v>0</v>
      </c>
      <c r="F37" s="255">
        <f t="shared" si="4"/>
        <v>0</v>
      </c>
      <c r="G37" s="577">
        <f t="shared" si="7"/>
        <v>0.1</v>
      </c>
      <c r="H37" s="255">
        <f t="shared" si="2"/>
        <v>0</v>
      </c>
      <c r="I37" s="312" t="str">
        <f t="shared" si="8"/>
        <v>0</v>
      </c>
      <c r="J37" s="255">
        <f t="shared" si="3"/>
        <v>0</v>
      </c>
    </row>
    <row r="38" spans="1:10" x14ac:dyDescent="0.3">
      <c r="A38" s="546"/>
      <c r="B38" s="368"/>
      <c r="C38" s="368" t="str">
        <f>Overview!C22</f>
        <v>Mobility Licenses</v>
      </c>
      <c r="D38" s="302">
        <f>Overview!D22</f>
        <v>0</v>
      </c>
      <c r="E38" s="363">
        <f>'Customer Offer'!E35</f>
        <v>0</v>
      </c>
      <c r="F38" s="255">
        <f t="shared" si="4"/>
        <v>0</v>
      </c>
      <c r="G38" s="577">
        <f t="shared" si="7"/>
        <v>0.1</v>
      </c>
      <c r="H38" s="255">
        <f t="shared" si="2"/>
        <v>0</v>
      </c>
      <c r="I38" s="312" t="str">
        <f t="shared" si="8"/>
        <v>0</v>
      </c>
      <c r="J38" s="255">
        <f t="shared" si="3"/>
        <v>0</v>
      </c>
    </row>
    <row r="39" spans="1:10" x14ac:dyDescent="0.3">
      <c r="A39" s="546"/>
      <c r="B39" s="368"/>
      <c r="C39" s="368" t="str">
        <f>Overview!C23</f>
        <v>Fax Licenses</v>
      </c>
      <c r="D39" s="302">
        <f>Overview!D23</f>
        <v>0</v>
      </c>
      <c r="E39" s="363">
        <f>'Customer Offer'!E36</f>
        <v>0</v>
      </c>
      <c r="F39" s="255">
        <f t="shared" si="4"/>
        <v>0</v>
      </c>
      <c r="G39" s="577">
        <f t="shared" si="7"/>
        <v>0.1</v>
      </c>
      <c r="H39" s="255">
        <f t="shared" si="2"/>
        <v>0</v>
      </c>
      <c r="I39" s="312" t="str">
        <f t="shared" si="8"/>
        <v>0</v>
      </c>
      <c r="J39" s="255">
        <f t="shared" si="3"/>
        <v>0</v>
      </c>
    </row>
    <row r="40" spans="1:10" x14ac:dyDescent="0.3">
      <c r="A40" s="546"/>
      <c r="B40" s="368"/>
      <c r="C40" s="368" t="str">
        <f>Overview!C24</f>
        <v>Application Sharing Licenses</v>
      </c>
      <c r="D40" s="302">
        <f>Overview!D24</f>
        <v>0</v>
      </c>
      <c r="E40" s="363">
        <f>'Customer Offer'!E37</f>
        <v>0</v>
      </c>
      <c r="F40" s="255">
        <f t="shared" si="4"/>
        <v>0</v>
      </c>
      <c r="G40" s="577">
        <f t="shared" si="7"/>
        <v>0.1</v>
      </c>
      <c r="H40" s="255">
        <f t="shared" si="2"/>
        <v>0</v>
      </c>
      <c r="I40" s="312" t="str">
        <f t="shared" si="8"/>
        <v>0</v>
      </c>
      <c r="J40" s="255">
        <f t="shared" si="3"/>
        <v>0</v>
      </c>
    </row>
    <row r="41" spans="1:10" x14ac:dyDescent="0.3">
      <c r="A41" s="546"/>
      <c r="B41" s="368"/>
      <c r="C41" s="368" t="str">
        <f>Overview!C25</f>
        <v>UC Licenses</v>
      </c>
      <c r="D41" s="302">
        <f>Overview!D25</f>
        <v>0</v>
      </c>
      <c r="E41" s="363">
        <f>'Customer Offer'!E38</f>
        <v>0</v>
      </c>
      <c r="F41" s="255">
        <f t="shared" si="4"/>
        <v>0</v>
      </c>
      <c r="G41" s="577">
        <f t="shared" si="7"/>
        <v>0.1</v>
      </c>
      <c r="H41" s="255">
        <f t="shared" si="2"/>
        <v>0</v>
      </c>
      <c r="I41" s="312" t="str">
        <f t="shared" si="8"/>
        <v>0</v>
      </c>
      <c r="J41" s="255">
        <f t="shared" si="3"/>
        <v>0</v>
      </c>
    </row>
    <row r="42" spans="1:10" ht="14.4" thickBot="1" x14ac:dyDescent="0.35">
      <c r="A42" s="546"/>
      <c r="B42" s="368"/>
      <c r="C42" s="368" t="str">
        <f>Overview!C26</f>
        <v>WebRTC Channel-Licenses</v>
      </c>
      <c r="D42" s="302">
        <f>Overview!D26</f>
        <v>0</v>
      </c>
      <c r="E42" s="363">
        <f>'Customer Offer'!E39</f>
        <v>0</v>
      </c>
      <c r="F42" s="255">
        <f t="shared" ref="F42" si="9">D42-(D42*E42)</f>
        <v>0</v>
      </c>
      <c r="G42" s="577">
        <f t="shared" si="7"/>
        <v>0.1</v>
      </c>
      <c r="H42" s="255">
        <f t="shared" ref="H42" si="10">D42-(D42*G42)</f>
        <v>0</v>
      </c>
      <c r="I42" s="312" t="str">
        <f t="shared" ref="I42" si="11">IF(F42=0,"0",(F42/H42*100-100)/100)</f>
        <v>0</v>
      </c>
      <c r="J42" s="255">
        <f t="shared" ref="J42" si="12">F42-H42</f>
        <v>0</v>
      </c>
    </row>
    <row r="43" spans="1:10" ht="14.4" thickBot="1" x14ac:dyDescent="0.35">
      <c r="A43" s="547" t="str">
        <f>Overview!A27</f>
        <v>Total UC Licenses</v>
      </c>
      <c r="B43" s="548"/>
      <c r="C43" s="550"/>
      <c r="D43" s="300">
        <f>SUM(D35:D42)</f>
        <v>0</v>
      </c>
      <c r="E43" s="364"/>
      <c r="F43" s="259">
        <f>SUM(F35:F42)</f>
        <v>0</v>
      </c>
      <c r="G43" s="367"/>
      <c r="H43" s="310">
        <f>SUM(H35:H42)</f>
        <v>0</v>
      </c>
      <c r="I43" s="313"/>
      <c r="J43" s="310">
        <f>SUM(J35:J42)</f>
        <v>0</v>
      </c>
    </row>
    <row r="44" spans="1:10" x14ac:dyDescent="0.3">
      <c r="A44" s="415" t="str">
        <f>Overview!A29</f>
        <v>Application Licenses</v>
      </c>
      <c r="B44" s="544"/>
      <c r="C44" s="545"/>
      <c r="D44" s="303"/>
      <c r="E44" s="365"/>
      <c r="F44" s="255"/>
      <c r="G44" s="363"/>
      <c r="H44" s="255"/>
      <c r="I44" s="312"/>
      <c r="J44" s="255"/>
    </row>
    <row r="45" spans="1:10" x14ac:dyDescent="0.3">
      <c r="A45" s="546"/>
      <c r="B45" s="368"/>
      <c r="C45" s="368" t="str">
        <f>Overview!C30</f>
        <v>Softwarephone Licenses</v>
      </c>
      <c r="D45" s="302">
        <f>Overview!D30</f>
        <v>0</v>
      </c>
      <c r="E45" s="363">
        <f>'Customer Offer'!E42</f>
        <v>0</v>
      </c>
      <c r="F45" s="255">
        <f t="shared" si="4"/>
        <v>0</v>
      </c>
      <c r="G45" s="577">
        <f t="shared" ref="G45:G51" si="13">$C$19</f>
        <v>0.1</v>
      </c>
      <c r="H45" s="255">
        <f t="shared" si="2"/>
        <v>0</v>
      </c>
      <c r="I45" s="312" t="str">
        <f t="shared" ref="I45:I50" si="14">IF(F45=0,"0",(F45/H45*100-100)/100)</f>
        <v>0</v>
      </c>
      <c r="J45" s="255">
        <f t="shared" si="3"/>
        <v>0</v>
      </c>
    </row>
    <row r="46" spans="1:10" x14ac:dyDescent="0.3">
      <c r="A46" s="546"/>
      <c r="B46" s="368"/>
      <c r="C46" s="368" t="str">
        <f>Overview!C31</f>
        <v>Queue Monitor Licenses</v>
      </c>
      <c r="D46" s="302">
        <f>Overview!D31</f>
        <v>0</v>
      </c>
      <c r="E46" s="363">
        <f>'Customer Offer'!E43</f>
        <v>0</v>
      </c>
      <c r="F46" s="255">
        <f t="shared" si="4"/>
        <v>0</v>
      </c>
      <c r="G46" s="577">
        <f t="shared" si="13"/>
        <v>0.1</v>
      </c>
      <c r="H46" s="255">
        <f t="shared" si="2"/>
        <v>0</v>
      </c>
      <c r="I46" s="312" t="str">
        <f t="shared" si="14"/>
        <v>0</v>
      </c>
      <c r="J46" s="255">
        <f t="shared" si="3"/>
        <v>0</v>
      </c>
    </row>
    <row r="47" spans="1:10" x14ac:dyDescent="0.3">
      <c r="A47" s="546"/>
      <c r="B47" s="368"/>
      <c r="C47" s="368" t="str">
        <f>Overview!C32</f>
        <v>Operator Licenses</v>
      </c>
      <c r="D47" s="302">
        <f>Overview!D32</f>
        <v>0</v>
      </c>
      <c r="E47" s="363">
        <f>'Customer Offer'!E44</f>
        <v>0</v>
      </c>
      <c r="F47" s="255">
        <f t="shared" si="4"/>
        <v>0</v>
      </c>
      <c r="G47" s="577">
        <f t="shared" si="13"/>
        <v>0.1</v>
      </c>
      <c r="H47" s="255">
        <f t="shared" si="2"/>
        <v>0</v>
      </c>
      <c r="I47" s="312" t="str">
        <f t="shared" si="14"/>
        <v>0</v>
      </c>
      <c r="J47" s="255">
        <f t="shared" si="3"/>
        <v>0</v>
      </c>
    </row>
    <row r="48" spans="1:10" x14ac:dyDescent="0.3">
      <c r="A48" s="546"/>
      <c r="B48" s="368"/>
      <c r="C48" s="368" t="str">
        <f>Overview!C33</f>
        <v>Reporting Licenses</v>
      </c>
      <c r="D48" s="302">
        <f>Overview!D33</f>
        <v>0</v>
      </c>
      <c r="E48" s="363">
        <f>'Customer Offer'!E45</f>
        <v>0</v>
      </c>
      <c r="F48" s="255">
        <f t="shared" si="4"/>
        <v>0</v>
      </c>
      <c r="G48" s="577">
        <f t="shared" si="13"/>
        <v>0.1</v>
      </c>
      <c r="H48" s="255">
        <f t="shared" ref="H48:H49" si="15">D48-(D48*G48)</f>
        <v>0</v>
      </c>
      <c r="I48" s="312" t="str">
        <f t="shared" si="14"/>
        <v>0</v>
      </c>
      <c r="J48" s="255">
        <f t="shared" ref="J48:J49" si="16">F48-H48</f>
        <v>0</v>
      </c>
    </row>
    <row r="49" spans="1:10" ht="14.4" thickBot="1" x14ac:dyDescent="0.35">
      <c r="A49" s="546"/>
      <c r="B49" s="368"/>
      <c r="C49" s="368" t="str">
        <f>Overview!C34</f>
        <v>VoiceRecording Licenses</v>
      </c>
      <c r="D49" s="302">
        <f>Overview!D34</f>
        <v>0</v>
      </c>
      <c r="E49" s="363">
        <f>'Customer Offer'!E46</f>
        <v>0</v>
      </c>
      <c r="F49" s="255">
        <f t="shared" si="4"/>
        <v>0</v>
      </c>
      <c r="G49" s="577">
        <f t="shared" si="13"/>
        <v>0.1</v>
      </c>
      <c r="H49" s="255">
        <f t="shared" si="15"/>
        <v>0</v>
      </c>
      <c r="I49" s="312" t="str">
        <f t="shared" si="14"/>
        <v>0</v>
      </c>
      <c r="J49" s="255">
        <f t="shared" si="16"/>
        <v>0</v>
      </c>
    </row>
    <row r="50" spans="1:10" ht="14.4" thickBot="1" x14ac:dyDescent="0.35">
      <c r="A50" s="547" t="str">
        <f>Overview!A35</f>
        <v>Total Application Licenses</v>
      </c>
      <c r="B50" s="548"/>
      <c r="C50" s="550"/>
      <c r="D50" s="300">
        <f>SUM(D45:D49)</f>
        <v>0</v>
      </c>
      <c r="E50" s="364"/>
      <c r="F50" s="300">
        <f>SUM(F45:F49)</f>
        <v>0</v>
      </c>
      <c r="G50" s="367"/>
      <c r="H50" s="310">
        <f>SUM(H45:H49)</f>
        <v>0</v>
      </c>
      <c r="I50" s="313" t="str">
        <f t="shared" si="14"/>
        <v>0</v>
      </c>
      <c r="J50" s="310">
        <f>SUM(J45:J49)</f>
        <v>0</v>
      </c>
    </row>
    <row r="51" spans="1:10" ht="14.4" thickBot="1" x14ac:dyDescent="0.35">
      <c r="A51" s="418" t="str">
        <f>Overview!A37</f>
        <v>Software Service for</v>
      </c>
      <c r="B51" s="261">
        <f>Overview!B37</f>
        <v>0</v>
      </c>
      <c r="C51" s="419" t="str">
        <f>Overview!C37</f>
        <v>year[s]</v>
      </c>
      <c r="D51" s="304">
        <f>Overview!D38</f>
        <v>0</v>
      </c>
      <c r="E51" s="363">
        <f>'Customer Offer'!E48</f>
        <v>0</v>
      </c>
      <c r="F51" s="304">
        <f>D51-(D51*E51)</f>
        <v>0</v>
      </c>
      <c r="G51" s="577">
        <f t="shared" si="13"/>
        <v>0.1</v>
      </c>
      <c r="H51" s="255">
        <f>D51-(D51*G51)</f>
        <v>0</v>
      </c>
      <c r="I51" s="312" t="str">
        <f t="shared" ref="I51" si="17">IF(F51=0,"0",(F51/H51*100-100)/100)</f>
        <v>0</v>
      </c>
      <c r="J51" s="255">
        <f>F51-H51</f>
        <v>0</v>
      </c>
    </row>
    <row r="52" spans="1:10" ht="14.4" thickBot="1" x14ac:dyDescent="0.35">
      <c r="A52" s="547" t="str">
        <f>Overview!A38</f>
        <v>Total Software Service</v>
      </c>
      <c r="B52" s="548"/>
      <c r="C52" s="550"/>
      <c r="D52" s="305">
        <f>SUM(D51)</f>
        <v>0</v>
      </c>
      <c r="E52" s="364"/>
      <c r="F52" s="259">
        <f>SUM(F51)</f>
        <v>0</v>
      </c>
      <c r="G52" s="367"/>
      <c r="H52" s="310">
        <f>SUM(H51)</f>
        <v>0</v>
      </c>
      <c r="I52" s="313"/>
      <c r="J52" s="310">
        <f>SUM(J51)</f>
        <v>0</v>
      </c>
    </row>
    <row r="53" spans="1:10" x14ac:dyDescent="0.3">
      <c r="A53" s="415" t="str">
        <f>Overview!A40</f>
        <v>Wireless</v>
      </c>
      <c r="B53" s="544"/>
      <c r="C53" s="545"/>
      <c r="D53" s="303"/>
      <c r="E53" s="365"/>
      <c r="F53" s="255"/>
      <c r="G53" s="363"/>
      <c r="H53" s="255"/>
      <c r="I53" s="312"/>
      <c r="J53" s="255"/>
    </row>
    <row r="54" spans="1:10" x14ac:dyDescent="0.3">
      <c r="A54" s="546"/>
      <c r="B54" s="368"/>
      <c r="C54" s="414" t="str">
        <f>Overview!C41</f>
        <v>IP DECT Base stations (incl. Accessories)</v>
      </c>
      <c r="D54" s="299">
        <f>Overview!D41</f>
        <v>0</v>
      </c>
      <c r="E54" s="363">
        <f>'Customer Offer'!E51</f>
        <v>0</v>
      </c>
      <c r="F54" s="255">
        <f t="shared" si="4"/>
        <v>0</v>
      </c>
      <c r="G54" s="577">
        <f t="shared" ref="G54:G56" si="18">$C$19</f>
        <v>0.1</v>
      </c>
      <c r="H54" s="255">
        <f t="shared" si="2"/>
        <v>0</v>
      </c>
      <c r="I54" s="312" t="str">
        <f t="shared" ref="I54:I57" si="19">IF(F54=0,"0",(F54/H54*100-100)/100)</f>
        <v>0</v>
      </c>
      <c r="J54" s="255">
        <f t="shared" si="3"/>
        <v>0</v>
      </c>
    </row>
    <row r="55" spans="1:10" x14ac:dyDescent="0.3">
      <c r="A55" s="546"/>
      <c r="B55" s="368"/>
      <c r="C55" s="414" t="str">
        <f>Overview!C42</f>
        <v>IP DECT Handsets ((incl. Accessories)</v>
      </c>
      <c r="D55" s="299">
        <f>Overview!D42</f>
        <v>0</v>
      </c>
      <c r="E55" s="363">
        <f>'Customer Offer'!E52</f>
        <v>0</v>
      </c>
      <c r="F55" s="255">
        <f t="shared" si="4"/>
        <v>0</v>
      </c>
      <c r="G55" s="577">
        <f t="shared" si="18"/>
        <v>0.1</v>
      </c>
      <c r="H55" s="255">
        <f t="shared" si="2"/>
        <v>0</v>
      </c>
      <c r="I55" s="312" t="str">
        <f t="shared" si="19"/>
        <v>0</v>
      </c>
      <c r="J55" s="255">
        <f t="shared" si="3"/>
        <v>0</v>
      </c>
    </row>
    <row r="56" spans="1:10" x14ac:dyDescent="0.3">
      <c r="A56" s="546"/>
      <c r="B56" s="368"/>
      <c r="C56" s="414" t="str">
        <f>Overview!C43</f>
        <v>Special DECT Handsets (IP81)</v>
      </c>
      <c r="D56" s="299">
        <f>Overview!D43</f>
        <v>0</v>
      </c>
      <c r="E56" s="363">
        <f>'Customer Offer'!E53</f>
        <v>0</v>
      </c>
      <c r="F56" s="255">
        <f t="shared" si="4"/>
        <v>0</v>
      </c>
      <c r="G56" s="577">
        <f t="shared" si="18"/>
        <v>0.1</v>
      </c>
      <c r="H56" s="255">
        <f t="shared" si="2"/>
        <v>0</v>
      </c>
      <c r="I56" s="312" t="str">
        <f t="shared" si="19"/>
        <v>0</v>
      </c>
      <c r="J56" s="255">
        <f t="shared" si="3"/>
        <v>0</v>
      </c>
    </row>
    <row r="57" spans="1:10" ht="14.4" thickBot="1" x14ac:dyDescent="0.35">
      <c r="A57" s="551"/>
      <c r="B57" s="416"/>
      <c r="C57" s="416" t="str">
        <f>Overview!C44</f>
        <v>WLAN Phone + Accessories</v>
      </c>
      <c r="D57" s="306">
        <f>Overview!D44</f>
        <v>0</v>
      </c>
      <c r="E57" s="366">
        <f>'Customer Offer'!E54</f>
        <v>0</v>
      </c>
      <c r="F57" s="265">
        <f t="shared" si="4"/>
        <v>0</v>
      </c>
      <c r="G57" s="578">
        <f>$C$19</f>
        <v>0.1</v>
      </c>
      <c r="H57" s="265">
        <f t="shared" si="2"/>
        <v>0</v>
      </c>
      <c r="I57" s="314" t="str">
        <f t="shared" si="19"/>
        <v>0</v>
      </c>
      <c r="J57" s="265">
        <f t="shared" si="3"/>
        <v>0</v>
      </c>
    </row>
    <row r="58" spans="1:10" ht="14.4" thickBot="1" x14ac:dyDescent="0.35">
      <c r="A58" s="547" t="str">
        <f>Overview!A45</f>
        <v>Total Wireless</v>
      </c>
      <c r="B58" s="548"/>
      <c r="C58" s="549"/>
      <c r="D58" s="305">
        <f>SUM(D54:D57)</f>
        <v>0</v>
      </c>
      <c r="E58" s="364"/>
      <c r="F58" s="259">
        <f>SUM(F54:F57)</f>
        <v>0</v>
      </c>
      <c r="G58" s="367"/>
      <c r="H58" s="310">
        <f>SUM(H54:H57)</f>
        <v>0</v>
      </c>
      <c r="I58" s="313"/>
      <c r="J58" s="310">
        <f>SUM(J54:J57)</f>
        <v>0</v>
      </c>
    </row>
    <row r="59" spans="1:10" x14ac:dyDescent="0.3">
      <c r="A59" s="415" t="str">
        <f>Overview!A47</f>
        <v>Service</v>
      </c>
      <c r="B59" s="544"/>
      <c r="C59" s="545"/>
      <c r="D59" s="303"/>
      <c r="E59" s="365"/>
      <c r="F59" s="255"/>
      <c r="G59" s="363"/>
      <c r="H59" s="255"/>
      <c r="I59" s="312"/>
      <c r="J59" s="255"/>
    </row>
    <row r="60" spans="1:10" x14ac:dyDescent="0.3">
      <c r="A60" s="546"/>
      <c r="B60" s="368"/>
      <c r="C60" s="414" t="str">
        <f>Overview!C48</f>
        <v>Warranty Extensions</v>
      </c>
      <c r="D60" s="299">
        <f>Overview!D48</f>
        <v>0</v>
      </c>
      <c r="E60" s="363">
        <f>'Customer Offer'!E57</f>
        <v>0</v>
      </c>
      <c r="F60" s="255">
        <f t="shared" si="4"/>
        <v>0</v>
      </c>
      <c r="G60" s="577">
        <f>$C$19</f>
        <v>0.1</v>
      </c>
      <c r="H60" s="255">
        <f t="shared" si="2"/>
        <v>0</v>
      </c>
      <c r="I60" s="312" t="str">
        <f t="shared" ref="I60:I63" si="20">IF(F60=0,"0",(F60/H60*100-100)/100)</f>
        <v>0</v>
      </c>
      <c r="J60" s="255">
        <f t="shared" si="3"/>
        <v>0</v>
      </c>
    </row>
    <row r="61" spans="1:10" x14ac:dyDescent="0.3">
      <c r="A61" s="546"/>
      <c r="B61" s="368"/>
      <c r="C61" s="414" t="str">
        <f>Overview!C49</f>
        <v>Silver Maintenance</v>
      </c>
      <c r="D61" s="299">
        <f>Overview!D49</f>
        <v>0</v>
      </c>
      <c r="E61" s="363">
        <f>'Customer Offer'!E58</f>
        <v>0</v>
      </c>
      <c r="F61" s="255">
        <f t="shared" si="4"/>
        <v>0</v>
      </c>
      <c r="G61" s="577">
        <f>$C$19</f>
        <v>0.1</v>
      </c>
      <c r="H61" s="255">
        <f t="shared" si="2"/>
        <v>0</v>
      </c>
      <c r="I61" s="312" t="str">
        <f t="shared" si="20"/>
        <v>0</v>
      </c>
      <c r="J61" s="255">
        <f t="shared" si="3"/>
        <v>0</v>
      </c>
    </row>
    <row r="62" spans="1:10" x14ac:dyDescent="0.3">
      <c r="A62" s="546"/>
      <c r="B62" s="368"/>
      <c r="C62" s="414" t="str">
        <f>Overview!C50</f>
        <v>Gold Maintenance</v>
      </c>
      <c r="D62" s="299">
        <f>Overview!D50</f>
        <v>0</v>
      </c>
      <c r="E62" s="363">
        <f>'Customer Offer'!E59</f>
        <v>0</v>
      </c>
      <c r="F62" s="255">
        <f t="shared" si="4"/>
        <v>0</v>
      </c>
      <c r="G62" s="577">
        <f>$C$19</f>
        <v>0.1</v>
      </c>
      <c r="H62" s="255">
        <f t="shared" si="2"/>
        <v>0</v>
      </c>
      <c r="I62" s="312" t="str">
        <f t="shared" si="20"/>
        <v>0</v>
      </c>
      <c r="J62" s="255">
        <f t="shared" si="3"/>
        <v>0</v>
      </c>
    </row>
    <row r="63" spans="1:10" ht="14.4" thickBot="1" x14ac:dyDescent="0.35">
      <c r="A63" s="546"/>
      <c r="B63" s="368"/>
      <c r="C63" s="414" t="str">
        <f>Overview!C51</f>
        <v>Gold onsite Maintenance</v>
      </c>
      <c r="D63" s="299">
        <f>Overview!D51</f>
        <v>0</v>
      </c>
      <c r="E63" s="363">
        <f>'Customer Offer'!E60</f>
        <v>0</v>
      </c>
      <c r="F63" s="255">
        <f t="shared" si="4"/>
        <v>0</v>
      </c>
      <c r="G63" s="577">
        <f>$C$19</f>
        <v>0.1</v>
      </c>
      <c r="H63" s="255">
        <f t="shared" si="2"/>
        <v>0</v>
      </c>
      <c r="I63" s="312" t="str">
        <f t="shared" si="20"/>
        <v>0</v>
      </c>
      <c r="J63" s="255">
        <f t="shared" si="3"/>
        <v>0</v>
      </c>
    </row>
    <row r="64" spans="1:10" ht="14.4" thickBot="1" x14ac:dyDescent="0.35">
      <c r="A64" s="547" t="str">
        <f>Overview!A52</f>
        <v>Total Service</v>
      </c>
      <c r="B64" s="548"/>
      <c r="C64" s="549"/>
      <c r="D64" s="305">
        <f>SUM(D60:D63)</f>
        <v>0</v>
      </c>
      <c r="E64" s="364"/>
      <c r="F64" s="259">
        <f>SUM(F60:F63)</f>
        <v>0</v>
      </c>
      <c r="G64" s="367"/>
      <c r="H64" s="310">
        <f>SUM(H60:H63)</f>
        <v>0</v>
      </c>
      <c r="I64" s="313"/>
      <c r="J64" s="310">
        <f>SUM(J60:J63)</f>
        <v>0</v>
      </c>
    </row>
    <row r="65" spans="1:10" x14ac:dyDescent="0.3">
      <c r="A65" s="415" t="str">
        <f>Overview!A54</f>
        <v>Third Party</v>
      </c>
      <c r="B65" s="544"/>
      <c r="C65" s="545"/>
      <c r="D65" s="303"/>
      <c r="E65" s="365"/>
      <c r="F65" s="255"/>
      <c r="G65" s="363"/>
      <c r="H65" s="255"/>
      <c r="I65" s="312"/>
      <c r="J65" s="255"/>
    </row>
    <row r="66" spans="1:10" x14ac:dyDescent="0.3">
      <c r="A66" s="546"/>
      <c r="B66" s="368"/>
      <c r="C66" s="414" t="str">
        <f>Overview!C55</f>
        <v>Estos</v>
      </c>
      <c r="D66" s="299">
        <f>Overview!D55</f>
        <v>0</v>
      </c>
      <c r="E66" s="363">
        <f>'Customer Offer'!E63</f>
        <v>0</v>
      </c>
      <c r="F66" s="255">
        <f t="shared" si="4"/>
        <v>0</v>
      </c>
      <c r="G66" s="577">
        <f>$C$19</f>
        <v>0.1</v>
      </c>
      <c r="H66" s="255">
        <f t="shared" si="2"/>
        <v>0</v>
      </c>
      <c r="I66" s="312" t="str">
        <f t="shared" ref="I66:I67" si="21">IF(F66=0,"0",(F66/H66*100-100)/100)</f>
        <v>0</v>
      </c>
      <c r="J66" s="255">
        <f t="shared" si="3"/>
        <v>0</v>
      </c>
    </row>
    <row r="67" spans="1:10" ht="14.4" thickBot="1" x14ac:dyDescent="0.35">
      <c r="A67" s="546"/>
      <c r="B67" s="368"/>
      <c r="C67" s="414" t="str">
        <f>Overview!C56</f>
        <v>XCAPI</v>
      </c>
      <c r="D67" s="299">
        <f>Overview!D56</f>
        <v>0</v>
      </c>
      <c r="E67" s="363">
        <f>'Customer Offer'!E64</f>
        <v>0</v>
      </c>
      <c r="F67" s="255">
        <f t="shared" si="4"/>
        <v>0</v>
      </c>
      <c r="G67" s="577">
        <f>$C$19</f>
        <v>0.1</v>
      </c>
      <c r="H67" s="255">
        <f t="shared" si="2"/>
        <v>0</v>
      </c>
      <c r="I67" s="312" t="str">
        <f t="shared" si="21"/>
        <v>0</v>
      </c>
      <c r="J67" s="255">
        <f t="shared" si="3"/>
        <v>0</v>
      </c>
    </row>
    <row r="68" spans="1:10" ht="14.4" thickBot="1" x14ac:dyDescent="0.35">
      <c r="A68" s="547" t="str">
        <f>Overview!A57</f>
        <v>Total 3rd Party</v>
      </c>
      <c r="B68" s="548"/>
      <c r="C68" s="549"/>
      <c r="D68" s="305">
        <f>SUM(D66:D67)</f>
        <v>0</v>
      </c>
      <c r="E68" s="364"/>
      <c r="F68" s="259">
        <f>SUM(F66:F67)</f>
        <v>0</v>
      </c>
      <c r="G68" s="367"/>
      <c r="H68" s="310">
        <f>SUM(H66:H67)</f>
        <v>0</v>
      </c>
      <c r="I68" s="313"/>
      <c r="J68" s="310">
        <f>SUM(J66:J67)</f>
        <v>0</v>
      </c>
    </row>
    <row r="69" spans="1:10" x14ac:dyDescent="0.3">
      <c r="A69" s="415" t="str">
        <f>'Customer Offer'!A66</f>
        <v>Onsite Service</v>
      </c>
      <c r="B69" s="544"/>
      <c r="C69" s="545"/>
      <c r="D69" s="303"/>
      <c r="E69" s="363"/>
      <c r="F69" s="255"/>
      <c r="G69" s="363"/>
      <c r="H69" s="255"/>
      <c r="I69" s="312"/>
      <c r="J69" s="255"/>
    </row>
    <row r="70" spans="1:10" x14ac:dyDescent="0.3">
      <c r="A70" s="417"/>
      <c r="B70" s="558"/>
      <c r="C70" s="368" t="str">
        <f>'Customer Offer'!C67</f>
        <v>Implementiation</v>
      </c>
      <c r="D70" s="299">
        <f>'Customer Offer'!D67</f>
        <v>0</v>
      </c>
      <c r="E70" s="363">
        <f>'Customer Offer'!E67</f>
        <v>0</v>
      </c>
      <c r="F70" s="255">
        <f t="shared" si="4"/>
        <v>0</v>
      </c>
      <c r="G70" s="577"/>
      <c r="H70" s="255"/>
      <c r="I70" s="312"/>
      <c r="J70" s="255">
        <f t="shared" si="3"/>
        <v>0</v>
      </c>
    </row>
    <row r="71" spans="1:10" x14ac:dyDescent="0.3">
      <c r="A71" s="417"/>
      <c r="B71" s="558"/>
      <c r="C71" s="368" t="str">
        <f>'Customer Offer'!C68</f>
        <v>Configuration</v>
      </c>
      <c r="D71" s="299">
        <f>'Customer Offer'!D68</f>
        <v>0</v>
      </c>
      <c r="E71" s="363">
        <f>'Customer Offer'!E68</f>
        <v>0</v>
      </c>
      <c r="F71" s="255">
        <f t="shared" si="4"/>
        <v>0</v>
      </c>
      <c r="G71" s="577"/>
      <c r="H71" s="255"/>
      <c r="I71" s="312"/>
      <c r="J71" s="255">
        <f t="shared" si="3"/>
        <v>0</v>
      </c>
    </row>
    <row r="72" spans="1:10" x14ac:dyDescent="0.3">
      <c r="A72" s="417"/>
      <c r="B72" s="558"/>
      <c r="C72" s="368" t="str">
        <f>'Customer Offer'!C69</f>
        <v>usw.</v>
      </c>
      <c r="D72" s="299">
        <f>'Customer Offer'!D69</f>
        <v>0</v>
      </c>
      <c r="E72" s="363">
        <f>'Customer Offer'!E69</f>
        <v>0</v>
      </c>
      <c r="F72" s="255">
        <f t="shared" si="4"/>
        <v>0</v>
      </c>
      <c r="G72" s="577"/>
      <c r="H72" s="255"/>
      <c r="I72" s="312"/>
      <c r="J72" s="255">
        <f t="shared" si="3"/>
        <v>0</v>
      </c>
    </row>
    <row r="73" spans="1:10" x14ac:dyDescent="0.3">
      <c r="A73" s="546"/>
      <c r="B73" s="368"/>
      <c r="C73" s="369"/>
      <c r="D73" s="299">
        <f>'Customer Offer'!D70</f>
        <v>0</v>
      </c>
      <c r="E73" s="363">
        <f>'Customer Offer'!E70</f>
        <v>0</v>
      </c>
      <c r="F73" s="255">
        <f t="shared" si="4"/>
        <v>0</v>
      </c>
      <c r="G73" s="577"/>
      <c r="H73" s="255"/>
      <c r="I73" s="312"/>
      <c r="J73" s="255">
        <f t="shared" si="3"/>
        <v>0</v>
      </c>
    </row>
    <row r="74" spans="1:10" ht="14.4" thickBot="1" x14ac:dyDescent="0.35">
      <c r="A74" s="546"/>
      <c r="B74" s="368"/>
      <c r="C74" s="414"/>
      <c r="D74" s="299"/>
      <c r="E74" s="363">
        <f>'Customer Offer'!E71</f>
        <v>0</v>
      </c>
      <c r="F74" s="255">
        <f t="shared" si="4"/>
        <v>0</v>
      </c>
      <c r="G74" s="577"/>
      <c r="H74" s="255"/>
      <c r="I74" s="312"/>
      <c r="J74" s="255">
        <f>F74-H74</f>
        <v>0</v>
      </c>
    </row>
    <row r="75" spans="1:10" ht="14.4" thickBot="1" x14ac:dyDescent="0.35">
      <c r="A75" s="547" t="str">
        <f>'Customer Offer'!A72</f>
        <v>Total Onsite Service</v>
      </c>
      <c r="B75" s="548"/>
      <c r="C75" s="549"/>
      <c r="D75" s="305">
        <f>SUM(D70:D74)</f>
        <v>0</v>
      </c>
      <c r="E75" s="364"/>
      <c r="F75" s="259">
        <f>SUM(F70:F74)</f>
        <v>0</v>
      </c>
      <c r="G75" s="565"/>
      <c r="H75" s="310">
        <f>SUM(H70:H74)</f>
        <v>0</v>
      </c>
      <c r="I75" s="315"/>
      <c r="J75" s="310">
        <f>SUM(J70:J74)</f>
        <v>0</v>
      </c>
    </row>
    <row r="76" spans="1:10" ht="14.4" thickBot="1" x14ac:dyDescent="0.35">
      <c r="A76" s="216"/>
      <c r="B76" s="216"/>
      <c r="C76" s="216"/>
      <c r="D76" s="307"/>
      <c r="E76" s="216"/>
      <c r="F76" s="216"/>
      <c r="G76" s="216"/>
      <c r="H76" s="311"/>
      <c r="I76" s="316"/>
      <c r="J76" s="311"/>
    </row>
    <row r="77" spans="1:10" ht="21.6" thickBot="1" x14ac:dyDescent="0.35">
      <c r="A77" s="566" t="s">
        <v>671</v>
      </c>
      <c r="B77" s="567"/>
      <c r="C77" s="568"/>
      <c r="D77" s="308">
        <f>D28+D33+D43+D50+D52+D58+D64+D68+D75</f>
        <v>0</v>
      </c>
      <c r="E77" s="317"/>
      <c r="F77" s="309">
        <f>F28+F33+F43+F50+F52+F58+F64+F68+F75</f>
        <v>0</v>
      </c>
      <c r="G77" s="317"/>
      <c r="H77" s="309">
        <f>H28+H33+H43+H50+H52+H58+H64+H68+H75</f>
        <v>0</v>
      </c>
      <c r="I77" s="317"/>
      <c r="J77" s="309">
        <f>J28+J33+J43+J50+J52+J58+J64+J68+J75</f>
        <v>0</v>
      </c>
    </row>
    <row r="80" spans="1:10" x14ac:dyDescent="0.3">
      <c r="F80" s="360"/>
    </row>
    <row r="228" spans="7:7" x14ac:dyDescent="0.3">
      <c r="G228" s="216" t="s">
        <v>314</v>
      </c>
    </row>
    <row r="229" spans="7:7" x14ac:dyDescent="0.3">
      <c r="G229" s="216" t="s">
        <v>343</v>
      </c>
    </row>
    <row r="230" spans="7:7" x14ac:dyDescent="0.3">
      <c r="G230" s="216" t="s">
        <v>344</v>
      </c>
    </row>
    <row r="231" spans="7:7" x14ac:dyDescent="0.3">
      <c r="G231" s="216"/>
    </row>
  </sheetData>
  <sheetProtection password="EE20" sheet="1" objects="1" scenarios="1"/>
  <mergeCells count="11">
    <mergeCell ref="A11:B11"/>
    <mergeCell ref="A12:B12"/>
    <mergeCell ref="A16:B16"/>
    <mergeCell ref="A4:B4"/>
    <mergeCell ref="A5:B5"/>
    <mergeCell ref="A6:B6"/>
    <mergeCell ref="A7:B7"/>
    <mergeCell ref="A10:B10"/>
    <mergeCell ref="A13:B13"/>
    <mergeCell ref="A14:B14"/>
    <mergeCell ref="A15:B15"/>
  </mergeCells>
  <dataValidations count="1">
    <dataValidation type="list" allowBlank="1" showInputMessage="1" showErrorMessage="1" sqref="C18">
      <formula1>$G$227:$G$231</formula1>
    </dataValidation>
  </dataValidations>
  <pageMargins left="0.70866141732283472" right="0.70866141732283472" top="1.0629921259842521" bottom="0.78740157480314965" header="0.31496062992125984" footer="0.31496062992125984"/>
  <pageSetup paperSize="9" scale="82" orientation="landscape" verticalDpi="4294967293" r:id="rId1"/>
  <headerFooter>
    <oddHeader>&amp;R&amp;G</oddHeader>
    <oddFooter>&amp;C&amp;P</oddFooter>
  </headerFooter>
  <rowBreaks count="1" manualBreakCount="1">
    <brk id="43" max="16383" man="1"/>
  </rowBreaks>
  <drawing r:id="rId2"/>
  <legacyDrawingHF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2"/>
  <sheetViews>
    <sheetView zoomScaleNormal="100" workbookViewId="0">
      <selection activeCell="B86" sqref="B86"/>
    </sheetView>
  </sheetViews>
  <sheetFormatPr baseColWidth="10" defaultColWidth="11.5546875" defaultRowHeight="13.2" x14ac:dyDescent="0.25"/>
  <cols>
    <col min="1" max="1" width="16.33203125" style="375" customWidth="1"/>
    <col min="2" max="2" width="64.6640625" style="375" customWidth="1"/>
    <col min="3" max="3" width="12.5546875" style="375" customWidth="1"/>
    <col min="4" max="4" width="8.6640625" style="375" customWidth="1"/>
    <col min="5" max="5" width="16.44140625" style="375" customWidth="1"/>
    <col min="6" max="16384" width="11.5546875" style="375"/>
  </cols>
  <sheetData>
    <row r="1" spans="1:5" ht="25.8" x14ac:dyDescent="0.25">
      <c r="A1" s="500" t="s">
        <v>848</v>
      </c>
      <c r="B1" s="501"/>
      <c r="C1" s="501"/>
      <c r="D1" s="501"/>
      <c r="E1" s="501"/>
    </row>
    <row r="2" spans="1:5" x14ac:dyDescent="0.25">
      <c r="A2" s="374" t="str">
        <f>Hardware!D78</f>
        <v>Article number</v>
      </c>
      <c r="B2" s="374" t="s">
        <v>519</v>
      </c>
      <c r="C2" s="374" t="str">
        <f>Hardware!F78</f>
        <v>RRP in EUR</v>
      </c>
      <c r="D2" s="374" t="str">
        <f>Hardware!G78</f>
        <v>Amount</v>
      </c>
      <c r="E2" s="374" t="str">
        <f>Hardware!H78</f>
        <v>Total in EUR</v>
      </c>
    </row>
    <row r="3" spans="1:5" x14ac:dyDescent="0.25">
      <c r="A3" s="375" t="str">
        <f>Hardware!D79</f>
        <v>01-00311-001</v>
      </c>
      <c r="B3" s="375" t="str">
        <f>Hardware!E79</f>
        <v>IP311 VOIP-Gateway</v>
      </c>
      <c r="C3" s="379">
        <f>Hardware!F79</f>
        <v>450</v>
      </c>
      <c r="D3" s="375">
        <f>Hardware!G79</f>
        <v>0</v>
      </c>
      <c r="E3" s="379">
        <f>Hardware!H79</f>
        <v>0</v>
      </c>
    </row>
    <row r="4" spans="1:5" x14ac:dyDescent="0.25">
      <c r="A4" s="375" t="str">
        <f>Hardware!D80</f>
        <v>01-00411-001</v>
      </c>
      <c r="B4" s="375" t="str">
        <f>Hardware!E80</f>
        <v>IP411 VOIP-Gateway</v>
      </c>
      <c r="C4" s="379">
        <f>Hardware!F80</f>
        <v>450</v>
      </c>
      <c r="D4" s="375">
        <f>Hardware!G80</f>
        <v>0</v>
      </c>
      <c r="E4" s="379">
        <f>Hardware!H80</f>
        <v>0</v>
      </c>
    </row>
    <row r="5" spans="1:5" x14ac:dyDescent="0.25">
      <c r="A5" s="375" t="str">
        <f>Hardware!D81</f>
        <v>01-00811-001</v>
      </c>
      <c r="B5" s="381" t="str">
        <f>Hardware!E81</f>
        <v>IP811 VOIP-Gateway</v>
      </c>
      <c r="C5" s="379">
        <f>Hardware!F81</f>
        <v>750</v>
      </c>
      <c r="D5" s="375">
        <f>Hardware!G81</f>
        <v>0</v>
      </c>
      <c r="E5" s="379">
        <f>Hardware!H81</f>
        <v>0</v>
      </c>
    </row>
    <row r="6" spans="1:5" x14ac:dyDescent="0.25">
      <c r="A6" s="375" t="str">
        <f>Hardware!D82</f>
        <v>01-03011-001</v>
      </c>
      <c r="B6" s="375" t="str">
        <f>Hardware!E82</f>
        <v>IP3011 VOIP-Gateway</v>
      </c>
      <c r="C6" s="379">
        <f>Hardware!F82</f>
        <v>1750</v>
      </c>
      <c r="D6" s="375">
        <f>Hardware!G82</f>
        <v>0</v>
      </c>
      <c r="E6" s="379">
        <f>Hardware!H82</f>
        <v>0</v>
      </c>
    </row>
    <row r="7" spans="1:5" x14ac:dyDescent="0.25">
      <c r="A7" s="375" t="str">
        <f>Hardware!D83</f>
        <v>01-06010-002</v>
      </c>
      <c r="B7" s="375" t="str">
        <f>Hardware!E83</f>
        <v>IP6010 VOIP-Gateway</v>
      </c>
      <c r="C7" s="379">
        <f>Hardware!F83</f>
        <v>4800</v>
      </c>
      <c r="D7" s="375">
        <f>Hardware!G83</f>
        <v>0</v>
      </c>
      <c r="E7" s="379">
        <f>Hardware!H83</f>
        <v>0</v>
      </c>
    </row>
    <row r="8" spans="1:5" x14ac:dyDescent="0.25">
      <c r="A8" s="375" t="str">
        <f>Hardware!D84</f>
        <v>01-01130-001</v>
      </c>
      <c r="B8" s="375" t="str">
        <f>Hardware!E84</f>
        <v>IP1130 VOIP-Gateway</v>
      </c>
      <c r="C8" s="379">
        <f>Hardware!F84</f>
        <v>1400</v>
      </c>
      <c r="D8" s="375">
        <f>Hardware!G84</f>
        <v>0</v>
      </c>
      <c r="E8" s="379">
        <f>Hardware!H84</f>
        <v>0</v>
      </c>
    </row>
    <row r="9" spans="1:5" x14ac:dyDescent="0.25">
      <c r="A9" s="375" t="str">
        <f>Hardware!D85</f>
        <v>01-00011-001</v>
      </c>
      <c r="B9" s="375" t="str">
        <f>Hardware!E85</f>
        <v>IP0011 VOIP-Gateway</v>
      </c>
      <c r="C9" s="379">
        <f>Hardware!F85</f>
        <v>490</v>
      </c>
      <c r="D9" s="375">
        <f>Hardware!G85</f>
        <v>0</v>
      </c>
      <c r="E9" s="379">
        <f>Hardware!H85</f>
        <v>0</v>
      </c>
    </row>
    <row r="10" spans="1:5" x14ac:dyDescent="0.25">
      <c r="A10" s="375" t="str">
        <f>Hardware!D86</f>
        <v>01-00038-001</v>
      </c>
      <c r="B10" s="375" t="str">
        <f>Hardware!E86</f>
        <v>IP38 FXO-Gateway</v>
      </c>
      <c r="C10" s="379">
        <f>Hardware!F86</f>
        <v>535</v>
      </c>
      <c r="D10" s="375">
        <f>Hardware!G86</f>
        <v>0</v>
      </c>
      <c r="E10" s="379">
        <f>Hardware!H86</f>
        <v>0</v>
      </c>
    </row>
    <row r="11" spans="1:5" x14ac:dyDescent="0.25">
      <c r="A11" s="375" t="str">
        <f>Hardware!D87</f>
        <v>01-00500-003</v>
      </c>
      <c r="B11" s="375" t="str">
        <f>Hardware!E87</f>
        <v>License for 1 PRI interface</v>
      </c>
      <c r="C11" s="379">
        <f>Hardware!F87</f>
        <v>700</v>
      </c>
      <c r="D11" s="375">
        <f>Hardware!G87</f>
        <v>0</v>
      </c>
      <c r="E11" s="379">
        <f>Hardware!H87</f>
        <v>0</v>
      </c>
    </row>
    <row r="12" spans="1:5" x14ac:dyDescent="0.25">
      <c r="A12" s="375" t="str">
        <f>Hardware!D88</f>
        <v>01-00500-002</v>
      </c>
      <c r="B12" s="375" t="str">
        <f>Hardware!E88</f>
        <v>License for 1 BRI interface</v>
      </c>
      <c r="C12" s="379">
        <f>Hardware!F88</f>
        <v>50</v>
      </c>
      <c r="D12" s="375">
        <f>Hardware!G88</f>
        <v>0</v>
      </c>
      <c r="E12" s="379">
        <f>Hardware!H88</f>
        <v>0</v>
      </c>
    </row>
    <row r="13" spans="1:5" x14ac:dyDescent="0.25">
      <c r="A13" s="375" t="str">
        <f>Hardware!D89</f>
        <v>01-00500-004</v>
      </c>
      <c r="B13" s="375" t="str">
        <f>Hardware!E89</f>
        <v>Channel License for one conference or ISDN channel</v>
      </c>
      <c r="C13" s="379">
        <f>Hardware!F89</f>
        <v>30</v>
      </c>
      <c r="D13" s="375">
        <f>Hardware!G89</f>
        <v>0</v>
      </c>
      <c r="E13" s="379">
        <f>Hardware!H89</f>
        <v>0</v>
      </c>
    </row>
    <row r="14" spans="1:5" x14ac:dyDescent="0.25">
      <c r="A14" s="375" t="str">
        <f>Hardware!D90</f>
        <v>01-00999-001</v>
      </c>
      <c r="B14" s="375" t="str">
        <f>Hardware!E90</f>
        <v>19'' Rack</v>
      </c>
      <c r="C14" s="379">
        <f>Hardware!F90</f>
        <v>85</v>
      </c>
      <c r="D14" s="375">
        <f>Hardware!G90</f>
        <v>0</v>
      </c>
      <c r="E14" s="379">
        <f>Hardware!H90</f>
        <v>0</v>
      </c>
    </row>
    <row r="15" spans="1:5" x14ac:dyDescent="0.25">
      <c r="A15" s="375" t="str">
        <f>Hardware!D91</f>
        <v>01-00222-001</v>
      </c>
      <c r="B15" s="375" t="str">
        <f>Hardware!E91</f>
        <v>IP222 IP-Phone (black)</v>
      </c>
      <c r="C15" s="379">
        <f>Hardware!F91</f>
        <v>199</v>
      </c>
      <c r="D15" s="375">
        <f>Hardware!G91</f>
        <v>0</v>
      </c>
      <c r="E15" s="379">
        <f>Hardware!H91</f>
        <v>0</v>
      </c>
    </row>
    <row r="16" spans="1:5" x14ac:dyDescent="0.25">
      <c r="A16" s="375" t="str">
        <f>Hardware!D92</f>
        <v>01-00222-002</v>
      </c>
      <c r="B16" s="375" t="str">
        <f>Hardware!E92</f>
        <v>IP222 IP-Phone (white)</v>
      </c>
      <c r="C16" s="379">
        <f>Hardware!F92</f>
        <v>229</v>
      </c>
      <c r="D16" s="375">
        <f>Hardware!G92</f>
        <v>0</v>
      </c>
      <c r="E16" s="379">
        <f>Hardware!H92</f>
        <v>0</v>
      </c>
    </row>
    <row r="17" spans="1:5" x14ac:dyDescent="0.25">
      <c r="A17" s="375" t="str">
        <f>Hardware!D93</f>
        <v>01-00232-001</v>
      </c>
      <c r="B17" s="375" t="str">
        <f>Hardware!E93</f>
        <v>IP232 IP-Phone (black)</v>
      </c>
      <c r="C17" s="379">
        <f>Hardware!F93</f>
        <v>254</v>
      </c>
      <c r="D17" s="375">
        <f>Hardware!G93</f>
        <v>0</v>
      </c>
      <c r="E17" s="379">
        <f>Hardware!H93</f>
        <v>0</v>
      </c>
    </row>
    <row r="18" spans="1:5" x14ac:dyDescent="0.25">
      <c r="A18" s="375" t="str">
        <f>Hardware!D94</f>
        <v>01-00232-002</v>
      </c>
      <c r="B18" s="375" t="str">
        <f>Hardware!E94</f>
        <v>IP232 IP-Phone (white)</v>
      </c>
      <c r="C18" s="379">
        <f>Hardware!F94</f>
        <v>278</v>
      </c>
      <c r="D18" s="375">
        <f>Hardware!G94</f>
        <v>0</v>
      </c>
      <c r="E18" s="379">
        <f>Hardware!H94</f>
        <v>0</v>
      </c>
    </row>
    <row r="19" spans="1:5" x14ac:dyDescent="0.25">
      <c r="A19" s="375" t="str">
        <f>Hardware!D95</f>
        <v>01-00111-001</v>
      </c>
      <c r="B19" s="375" t="str">
        <f>Hardware!E95</f>
        <v>IP111 IP-Phone</v>
      </c>
      <c r="C19" s="379">
        <f>Hardware!F95</f>
        <v>99</v>
      </c>
      <c r="D19" s="375">
        <f>Hardware!G95</f>
        <v>0</v>
      </c>
      <c r="E19" s="379">
        <f>Hardware!H95</f>
        <v>0</v>
      </c>
    </row>
    <row r="20" spans="1:5" x14ac:dyDescent="0.25">
      <c r="A20" s="375" t="str">
        <f>Hardware!D96</f>
        <v>01-00112-001</v>
      </c>
      <c r="B20" s="375" t="str">
        <f>Hardware!E96</f>
        <v>IP112 IP-Phone</v>
      </c>
      <c r="C20" s="379">
        <f>Hardware!F96</f>
        <v>143</v>
      </c>
      <c r="D20" s="375">
        <f>Hardware!G96</f>
        <v>0</v>
      </c>
      <c r="E20" s="379">
        <f>Hardware!H96</f>
        <v>0</v>
      </c>
    </row>
    <row r="21" spans="1:5" x14ac:dyDescent="0.25">
      <c r="A21" s="375" t="str">
        <f>Hardware!D97</f>
        <v>01-00240-003</v>
      </c>
      <c r="B21" s="375" t="str">
        <f>Hardware!E97</f>
        <v>IP240 IP-Phone</v>
      </c>
      <c r="C21" s="379">
        <f>Hardware!F97</f>
        <v>180</v>
      </c>
      <c r="D21" s="375">
        <f>Hardware!G97</f>
        <v>0</v>
      </c>
      <c r="E21" s="379">
        <f>Hardware!H97</f>
        <v>0</v>
      </c>
    </row>
    <row r="22" spans="1:5" x14ac:dyDescent="0.25">
      <c r="A22" s="375" t="str">
        <f>Hardware!D98</f>
        <v>01-00241-001</v>
      </c>
      <c r="B22" s="375" t="str">
        <f>Hardware!E98</f>
        <v>IP241 IP-Phone</v>
      </c>
      <c r="C22" s="379">
        <f>Hardware!F98</f>
        <v>239</v>
      </c>
      <c r="D22" s="375">
        <f>Hardware!G98</f>
        <v>0</v>
      </c>
      <c r="E22" s="379">
        <f>Hardware!H98</f>
        <v>0</v>
      </c>
    </row>
    <row r="23" spans="1:5" x14ac:dyDescent="0.25">
      <c r="A23" s="375" t="str">
        <f>Hardware!D99</f>
        <v>01-00150-001</v>
      </c>
      <c r="B23" s="375" t="str">
        <f>Hardware!E99</f>
        <v>IP150 IP-Phone</v>
      </c>
      <c r="C23" s="379">
        <f>Hardware!F99</f>
        <v>825</v>
      </c>
      <c r="D23" s="375">
        <f>Hardware!G99</f>
        <v>0</v>
      </c>
      <c r="E23" s="379">
        <f>Hardware!H99</f>
        <v>0</v>
      </c>
    </row>
    <row r="24" spans="1:5" x14ac:dyDescent="0.25">
      <c r="A24" s="375" t="str">
        <f>Hardware!D100</f>
        <v>01-00150-010</v>
      </c>
      <c r="B24" s="375" t="str">
        <f>Hardware!E100</f>
        <v>IP150 IP-Phone incl. headset</v>
      </c>
      <c r="C24" s="379">
        <f>Hardware!F100</f>
        <v>1990</v>
      </c>
      <c r="D24" s="375">
        <f>Hardware!G100</f>
        <v>0</v>
      </c>
      <c r="E24" s="379">
        <f>Hardware!H100</f>
        <v>0</v>
      </c>
    </row>
    <row r="25" spans="1:5" x14ac:dyDescent="0.25">
      <c r="A25" s="375" t="str">
        <f>Hardware!D101</f>
        <v>01-002X2-001</v>
      </c>
      <c r="B25" s="375" t="str">
        <f>Hardware!E101</f>
        <v>IP2X2-X Individual key module (black)</v>
      </c>
      <c r="C25" s="379">
        <f>Hardware!F101</f>
        <v>175</v>
      </c>
      <c r="D25" s="375">
        <f>Hardware!G101</f>
        <v>0</v>
      </c>
      <c r="E25" s="379">
        <f>Hardware!H101</f>
        <v>0</v>
      </c>
    </row>
    <row r="26" spans="1:5" x14ac:dyDescent="0.25">
      <c r="A26" s="375" t="str">
        <f>Hardware!D102</f>
        <v>01-002X2-002</v>
      </c>
      <c r="B26" s="375" t="str">
        <f>Hardware!E102</f>
        <v>IP2X2-X Individual key module (white)</v>
      </c>
      <c r="C26" s="379">
        <f>Hardware!F102</f>
        <v>195</v>
      </c>
      <c r="D26" s="375">
        <f>Hardware!G102</f>
        <v>0</v>
      </c>
      <c r="E26" s="379">
        <f>Hardware!H102</f>
        <v>0</v>
      </c>
    </row>
    <row r="27" spans="1:5" x14ac:dyDescent="0.25">
      <c r="A27" s="375" t="str">
        <f>Hardware!D103</f>
        <v>03-002X2-001</v>
      </c>
      <c r="B27" s="375" t="str">
        <f>Hardware!E103</f>
        <v>base (long) IP2x2-X for one phone IP222 or IP232 including one individual key module</v>
      </c>
      <c r="C27" s="379">
        <f>Hardware!F103</f>
        <v>25</v>
      </c>
      <c r="D27" s="375">
        <f>Hardware!G103</f>
        <v>0</v>
      </c>
      <c r="E27" s="379">
        <f>Hardware!H103</f>
        <v>0</v>
      </c>
    </row>
    <row r="28" spans="1:5" x14ac:dyDescent="0.25">
      <c r="A28" s="375" t="str">
        <f>Hardware!D104</f>
        <v>03-002X2-002</v>
      </c>
      <c r="B28" s="375" t="str">
        <f>Hardware!E104</f>
        <v>base (long) IP2x2-X for one phone IP222 or IP232 including two individual key modules</v>
      </c>
      <c r="C28" s="379">
        <f>Hardware!F104</f>
        <v>50</v>
      </c>
      <c r="D28" s="375">
        <f>Hardware!G104</f>
        <v>0</v>
      </c>
      <c r="E28" s="379">
        <f>Hardware!H104</f>
        <v>0</v>
      </c>
    </row>
    <row r="29" spans="1:5" x14ac:dyDescent="0.25">
      <c r="A29" s="375" t="str">
        <f>Hardware!D105</f>
        <v>01-00230-001</v>
      </c>
      <c r="B29" s="375" t="str">
        <f>Hardware!E105</f>
        <v>Individual key module for IP230, IP240, IP241</v>
      </c>
      <c r="C29" s="379">
        <f>Hardware!F105</f>
        <v>99</v>
      </c>
      <c r="D29" s="375">
        <f>Hardware!G105</f>
        <v>0</v>
      </c>
      <c r="E29" s="379">
        <f>Hardware!H105</f>
        <v>0</v>
      </c>
    </row>
    <row r="30" spans="1:5" x14ac:dyDescent="0.25">
      <c r="A30" s="375" t="str">
        <f>Hardware!D106</f>
        <v>01-00022-001</v>
      </c>
      <c r="B30" s="375" t="str">
        <f>Hardware!E106</f>
        <v>IP22 - Analogue Adapter</v>
      </c>
      <c r="C30" s="379">
        <f>Hardware!F106</f>
        <v>280</v>
      </c>
      <c r="D30" s="375">
        <f>Hardware!G106</f>
        <v>0</v>
      </c>
      <c r="E30" s="379">
        <f>Hardware!H106</f>
        <v>0</v>
      </c>
    </row>
    <row r="31" spans="1:5" x14ac:dyDescent="0.25">
      <c r="A31" s="375" t="str">
        <f>Hardware!D107</f>
        <v>01-00029-004</v>
      </c>
      <c r="B31" s="375" t="str">
        <f>Hardware!E107</f>
        <v>IP29-4 - Analogue Adapter</v>
      </c>
      <c r="C31" s="379">
        <f>Hardware!F107</f>
        <v>435</v>
      </c>
      <c r="D31" s="375">
        <f>Hardware!G107</f>
        <v>0</v>
      </c>
      <c r="E31" s="379">
        <f>Hardware!H107</f>
        <v>0</v>
      </c>
    </row>
    <row r="32" spans="1:5" x14ac:dyDescent="0.25">
      <c r="A32" s="375" t="str">
        <f>Hardware!D108</f>
        <v>01-00029-001</v>
      </c>
      <c r="B32" s="375" t="str">
        <f>Hardware!E108</f>
        <v>IP29 - Analogue Adapter</v>
      </c>
      <c r="C32" s="379">
        <f>Hardware!F108</f>
        <v>535</v>
      </c>
      <c r="D32" s="375">
        <f>Hardware!G108</f>
        <v>0</v>
      </c>
      <c r="E32" s="379">
        <f>Hardware!H108</f>
        <v>0</v>
      </c>
    </row>
    <row r="33" spans="1:5" x14ac:dyDescent="0.25">
      <c r="A33" s="375" t="str">
        <f>Hardware!D109</f>
        <v>88-00010-056</v>
      </c>
      <c r="B33" s="375" t="str">
        <f>Hardware!E109</f>
        <v>IP29 Combipackage (2 x IP29 + 19"- Rack)</v>
      </c>
      <c r="C33" s="379">
        <f>Hardware!F109</f>
        <v>930</v>
      </c>
      <c r="D33" s="375">
        <f>Hardware!G109</f>
        <v>0</v>
      </c>
      <c r="E33" s="379">
        <f>Hardware!H109</f>
        <v>0</v>
      </c>
    </row>
    <row r="34" spans="1:5" x14ac:dyDescent="0.25">
      <c r="A34" s="375" t="str">
        <f>Hardware!D110</f>
        <v>03-00010-004</v>
      </c>
      <c r="B34" s="375" t="str">
        <f>Hardware!E110</f>
        <v>12 V power supply</v>
      </c>
      <c r="C34" s="379">
        <f>Hardware!F110</f>
        <v>18</v>
      </c>
      <c r="D34" s="375">
        <f>Hardware!G110</f>
        <v>0</v>
      </c>
      <c r="E34" s="379">
        <f>Hardware!H110</f>
        <v>0</v>
      </c>
    </row>
    <row r="35" spans="1:5" x14ac:dyDescent="0.25">
      <c r="A35" s="375" t="str">
        <f>Hardware!D111</f>
        <v>03-00010-226</v>
      </c>
      <c r="B35" s="375" t="str">
        <f>Hardware!E111</f>
        <v>40 V power supply</v>
      </c>
      <c r="C35" s="379">
        <f>Hardware!F111</f>
        <v>25</v>
      </c>
      <c r="D35" s="375">
        <f>Hardware!G111</f>
        <v>0</v>
      </c>
      <c r="E35" s="379">
        <f>Hardware!H111</f>
        <v>0</v>
      </c>
    </row>
    <row r="36" spans="1:5" x14ac:dyDescent="0.25">
      <c r="A36" s="375" t="str">
        <f>Hardware!D112</f>
        <v>03-00010-231</v>
      </c>
      <c r="B36" s="375" t="str">
        <f>Hardware!E112</f>
        <v>PoE Adapter Gigabit</v>
      </c>
      <c r="C36" s="379">
        <f>Hardware!F112</f>
        <v>59</v>
      </c>
      <c r="D36" s="375">
        <f>Hardware!G112</f>
        <v>0</v>
      </c>
      <c r="E36" s="379">
        <f>Hardware!H112</f>
        <v>0</v>
      </c>
    </row>
    <row r="37" spans="1:5" x14ac:dyDescent="0.25">
      <c r="A37" s="375" t="str">
        <f>Hardware!D113</f>
        <v>03-00010-002</v>
      </c>
      <c r="B37" s="375" t="str">
        <f>Hardware!E113</f>
        <v>12 V power supply int.</v>
      </c>
      <c r="C37" s="379">
        <f>Hardware!F113</f>
        <v>28</v>
      </c>
      <c r="D37" s="375">
        <f>Hardware!G113</f>
        <v>0</v>
      </c>
      <c r="E37" s="379">
        <f>Hardware!H113</f>
        <v>0</v>
      </c>
    </row>
    <row r="38" spans="1:5" ht="6" customHeight="1" x14ac:dyDescent="0.25">
      <c r="A38" s="376"/>
      <c r="B38" s="376"/>
      <c r="C38" s="380"/>
      <c r="D38" s="376"/>
      <c r="E38" s="380"/>
    </row>
    <row r="39" spans="1:5" x14ac:dyDescent="0.25">
      <c r="A39" s="377" t="str">
        <f>Software!C50</f>
        <v>02-00039-002</v>
      </c>
      <c r="B39" s="375" t="str">
        <f>Software!D50</f>
        <v>v12 Port-Lic Standard</v>
      </c>
      <c r="C39" s="379">
        <f>Software!F50</f>
        <v>49</v>
      </c>
      <c r="D39" s="375">
        <f>Software!G50</f>
        <v>0</v>
      </c>
      <c r="E39" s="379">
        <f>Software!H50</f>
        <v>0</v>
      </c>
    </row>
    <row r="40" spans="1:5" x14ac:dyDescent="0.25">
      <c r="A40" s="377" t="str">
        <f>Software!C52</f>
        <v>02-00039-003</v>
      </c>
      <c r="B40" s="375" t="str">
        <f>Software!D52</f>
        <v>v12 Port-Lic min500</v>
      </c>
      <c r="C40" s="379">
        <f>Software!F52</f>
        <v>44</v>
      </c>
      <c r="D40" s="375">
        <f>Software!G52</f>
        <v>0</v>
      </c>
      <c r="E40" s="379">
        <f>Software!H52</f>
        <v>0</v>
      </c>
    </row>
    <row r="41" spans="1:5" x14ac:dyDescent="0.25">
      <c r="A41" s="377" t="str">
        <f>Software!C54</f>
        <v>02-00039-004</v>
      </c>
      <c r="B41" s="375" t="str">
        <f>Software!D54</f>
        <v>v12 Port-Lic min1000</v>
      </c>
      <c r="C41" s="379">
        <f>Software!F54</f>
        <v>35</v>
      </c>
      <c r="D41" s="375">
        <f>Software!G54</f>
        <v>0</v>
      </c>
      <c r="E41" s="379">
        <f>Software!H54</f>
        <v>0</v>
      </c>
    </row>
    <row r="42" spans="1:5" x14ac:dyDescent="0.25">
      <c r="A42" s="377" t="str">
        <f>Software!C56</f>
        <v>02-00039-005</v>
      </c>
      <c r="B42" s="375" t="str">
        <f>Software!D56</f>
        <v>v12 Port-Lic min2000</v>
      </c>
      <c r="C42" s="379">
        <f>Software!F56</f>
        <v>30</v>
      </c>
      <c r="D42" s="375">
        <f>Software!G56</f>
        <v>0</v>
      </c>
      <c r="E42" s="379">
        <f>Software!H56</f>
        <v>0</v>
      </c>
    </row>
    <row r="43" spans="1:5" x14ac:dyDescent="0.25">
      <c r="A43" s="377" t="str">
        <f>Software!C58</f>
        <v>02-00039-006</v>
      </c>
      <c r="B43" s="375" t="str">
        <f>Software!D58</f>
        <v>v12 Port-Lic min5000</v>
      </c>
      <c r="C43" s="379">
        <f>Software!F58</f>
        <v>27</v>
      </c>
      <c r="D43" s="375">
        <f>Software!G58</f>
        <v>0</v>
      </c>
      <c r="E43" s="379">
        <f>Software!H58</f>
        <v>0</v>
      </c>
    </row>
    <row r="44" spans="1:5" x14ac:dyDescent="0.25">
      <c r="A44" s="377" t="str">
        <f>Software!C59</f>
        <v>02-00040-002</v>
      </c>
      <c r="B44" s="375" t="str">
        <f>Software!D59</f>
        <v>v12 Standby-Lic Standard</v>
      </c>
      <c r="C44" s="379">
        <f>Software!F59</f>
        <v>9.8000000000000007</v>
      </c>
      <c r="D44" s="375">
        <f>Software!G59</f>
        <v>0</v>
      </c>
      <c r="E44" s="379">
        <f>Software!H59</f>
        <v>0</v>
      </c>
    </row>
    <row r="45" spans="1:5" x14ac:dyDescent="0.25">
      <c r="A45" s="377" t="str">
        <f>Software!C60</f>
        <v>02-00040-003</v>
      </c>
      <c r="B45" s="375" t="str">
        <f>Software!D60</f>
        <v>v12 Standby-Lic min500</v>
      </c>
      <c r="C45" s="379">
        <f>Software!F60</f>
        <v>8.8000000000000007</v>
      </c>
      <c r="D45" s="375">
        <f>Software!G60</f>
        <v>0</v>
      </c>
      <c r="E45" s="379">
        <f>Software!H60</f>
        <v>0</v>
      </c>
    </row>
    <row r="46" spans="1:5" x14ac:dyDescent="0.25">
      <c r="A46" s="377" t="str">
        <f>Software!C61</f>
        <v>02-00040-004</v>
      </c>
      <c r="B46" s="375" t="str">
        <f>Software!D61</f>
        <v>v12 Standby-Lic min1000</v>
      </c>
      <c r="C46" s="379">
        <f>Software!F61</f>
        <v>7</v>
      </c>
      <c r="D46" s="375">
        <f>Software!G61</f>
        <v>0</v>
      </c>
      <c r="E46" s="379">
        <f>Software!H61</f>
        <v>0</v>
      </c>
    </row>
    <row r="47" spans="1:5" x14ac:dyDescent="0.25">
      <c r="A47" s="377" t="str">
        <f>Software!C62</f>
        <v>02-00040-005</v>
      </c>
      <c r="B47" s="375" t="str">
        <f>Software!D62</f>
        <v>v12 Standby-Lic min2000</v>
      </c>
      <c r="C47" s="379">
        <f>Software!F62</f>
        <v>6</v>
      </c>
      <c r="D47" s="375">
        <f>Software!G62</f>
        <v>0</v>
      </c>
      <c r="E47" s="379">
        <f>Software!H62</f>
        <v>0</v>
      </c>
    </row>
    <row r="48" spans="1:5" x14ac:dyDescent="0.25">
      <c r="A48" s="377" t="str">
        <f>Software!C63</f>
        <v>02-00040-006</v>
      </c>
      <c r="B48" s="375" t="str">
        <f>Software!D63</f>
        <v>v12 Standby-Lic min5000</v>
      </c>
      <c r="C48" s="379">
        <f>Software!F63</f>
        <v>5.4</v>
      </c>
      <c r="D48" s="375">
        <f>Software!G63</f>
        <v>0</v>
      </c>
      <c r="E48" s="379">
        <f>Software!H63</f>
        <v>0</v>
      </c>
    </row>
    <row r="49" spans="1:5" x14ac:dyDescent="0.25">
      <c r="A49" s="377" t="str">
        <f>Software!C64</f>
        <v>02-00043-002</v>
      </c>
      <c r="B49" s="375" t="str">
        <f>Software!D64</f>
        <v>v12 IPVA-Lic</v>
      </c>
      <c r="C49" s="379">
        <f>Software!F64</f>
        <v>5</v>
      </c>
      <c r="D49" s="375">
        <f>Software!G64</f>
        <v>0</v>
      </c>
      <c r="E49" s="379">
        <f>Software!H64</f>
        <v>0</v>
      </c>
    </row>
    <row r="50" spans="1:5" ht="6" customHeight="1" x14ac:dyDescent="0.25">
      <c r="A50" s="378"/>
      <c r="B50" s="376"/>
      <c r="C50" s="380"/>
      <c r="D50" s="376"/>
      <c r="E50" s="380"/>
    </row>
    <row r="51" spans="1:5" x14ac:dyDescent="0.25">
      <c r="A51" s="377" t="str">
        <f>Software!C66</f>
        <v>02-00041-004</v>
      </c>
      <c r="B51" s="375" t="str">
        <f>Software!D66</f>
        <v>v12 Voicemail-User-Lic</v>
      </c>
      <c r="C51" s="379">
        <f>Software!F66</f>
        <v>10</v>
      </c>
      <c r="D51" s="375">
        <f>Software!G66</f>
        <v>0</v>
      </c>
      <c r="E51" s="379">
        <f>Software!H66</f>
        <v>0</v>
      </c>
    </row>
    <row r="52" spans="1:5" x14ac:dyDescent="0.25">
      <c r="A52" s="377" t="str">
        <f>Software!C67</f>
        <v>02-00031-001</v>
      </c>
      <c r="B52" s="375" t="str">
        <f>Software!D67</f>
        <v>v12 myPBX-Lic</v>
      </c>
      <c r="C52" s="379">
        <f>Software!F67</f>
        <v>35</v>
      </c>
      <c r="D52" s="375">
        <f>Software!G67</f>
        <v>0</v>
      </c>
      <c r="E52" s="379">
        <f>Software!H67</f>
        <v>0</v>
      </c>
    </row>
    <row r="53" spans="1:5" x14ac:dyDescent="0.25">
      <c r="A53" s="377" t="str">
        <f>Software!C68</f>
        <v>02-00032-001</v>
      </c>
      <c r="B53" s="375" t="str">
        <f>Software!D68</f>
        <v>v12 Video-Lic</v>
      </c>
      <c r="C53" s="379">
        <f>Software!F68</f>
        <v>15</v>
      </c>
      <c r="D53" s="375">
        <f>Software!G68</f>
        <v>0</v>
      </c>
      <c r="E53" s="379">
        <f>Software!H68</f>
        <v>0</v>
      </c>
    </row>
    <row r="54" spans="1:5" x14ac:dyDescent="0.25">
      <c r="A54" s="377" t="str">
        <f>Software!C69</f>
        <v>02-00027-005</v>
      </c>
      <c r="B54" s="375" t="str">
        <f>Software!D69</f>
        <v>v12 Mobility-Lic</v>
      </c>
      <c r="C54" s="379">
        <f>Software!F69</f>
        <v>30</v>
      </c>
      <c r="D54" s="375">
        <f>Software!G69</f>
        <v>0</v>
      </c>
      <c r="E54" s="379">
        <f>Software!H69</f>
        <v>0</v>
      </c>
    </row>
    <row r="55" spans="1:5" x14ac:dyDescent="0.25">
      <c r="A55" s="377" t="str">
        <f>Software!C70</f>
        <v>02-00030-001</v>
      </c>
      <c r="B55" s="375" t="str">
        <f>Software!D70</f>
        <v>v12 Fax-Lic</v>
      </c>
      <c r="C55" s="379">
        <f>Software!F70</f>
        <v>10</v>
      </c>
      <c r="D55" s="375">
        <f>Software!G70</f>
        <v>0</v>
      </c>
      <c r="E55" s="379">
        <f>Software!H70</f>
        <v>0</v>
      </c>
    </row>
    <row r="56" spans="1:5" x14ac:dyDescent="0.25">
      <c r="A56" s="377" t="str">
        <f>Software!C71</f>
        <v>02-00045-001</v>
      </c>
      <c r="B56" s="375" t="str">
        <f>Software!D71</f>
        <v>v12 AppSharing-Lic</v>
      </c>
      <c r="C56" s="379">
        <f>Software!F71</f>
        <v>15</v>
      </c>
      <c r="D56" s="375">
        <f>Software!G71</f>
        <v>0</v>
      </c>
      <c r="E56" s="379">
        <f>Software!H71</f>
        <v>0</v>
      </c>
    </row>
    <row r="57" spans="1:5" x14ac:dyDescent="0.25">
      <c r="A57" s="377" t="str">
        <f>Software!C72</f>
        <v>02-00044-001</v>
      </c>
      <c r="B57" s="375" t="str">
        <f>Software!D72</f>
        <v>v12 UC-Lic</v>
      </c>
      <c r="C57" s="379">
        <f>Software!F72</f>
        <v>58</v>
      </c>
      <c r="D57" s="375">
        <f>Software!G72</f>
        <v>0</v>
      </c>
      <c r="E57" s="379">
        <f>Software!H72</f>
        <v>0</v>
      </c>
    </row>
    <row r="58" spans="1:5" x14ac:dyDescent="0.25">
      <c r="A58" s="377" t="str">
        <f>Software!C73</f>
        <v>02-00047-001</v>
      </c>
      <c r="B58" s="375" t="str">
        <f>Software!D73</f>
        <v>v12 WebRTC Channel-Lic</v>
      </c>
      <c r="C58" s="379">
        <f>Software!F73</f>
        <v>30</v>
      </c>
      <c r="D58" s="375">
        <f>Software!G73</f>
        <v>0</v>
      </c>
      <c r="E58" s="379">
        <f>Software!H73</f>
        <v>0</v>
      </c>
    </row>
    <row r="59" spans="1:5" ht="6" customHeight="1" x14ac:dyDescent="0.25">
      <c r="A59" s="378"/>
      <c r="B59" s="376"/>
      <c r="C59" s="380"/>
      <c r="D59" s="376"/>
      <c r="E59" s="380"/>
    </row>
    <row r="60" spans="1:5" x14ac:dyDescent="0.25">
      <c r="A60" s="377" t="str">
        <f>Software!C75</f>
        <v>02-00043-001</v>
      </c>
      <c r="B60" s="375" t="str">
        <f>Software!D75</f>
        <v>v12 Softwarephone</v>
      </c>
      <c r="C60" s="379">
        <f>Software!F75</f>
        <v>20</v>
      </c>
      <c r="D60" s="375">
        <f>Software!G75</f>
        <v>0</v>
      </c>
      <c r="E60" s="379">
        <f>Software!H75</f>
        <v>0</v>
      </c>
    </row>
    <row r="61" spans="1:5" x14ac:dyDescent="0.25">
      <c r="A61" s="377" t="str">
        <f>Software!C76</f>
        <v>02-00027-007</v>
      </c>
      <c r="B61" s="375" t="str">
        <f>Software!D76</f>
        <v>v12 Queue Monitor</v>
      </c>
      <c r="C61" s="379">
        <f>Software!F76</f>
        <v>245</v>
      </c>
      <c r="D61" s="375">
        <f>Software!G76</f>
        <v>0</v>
      </c>
      <c r="E61" s="379">
        <f>Software!H76</f>
        <v>0</v>
      </c>
    </row>
    <row r="62" spans="1:5" x14ac:dyDescent="0.25">
      <c r="A62" s="377" t="str">
        <f>Software!C77</f>
        <v>02-00027-006</v>
      </c>
      <c r="B62" s="375" t="str">
        <f>Software!D77</f>
        <v>v12 Operator</v>
      </c>
      <c r="C62" s="379">
        <f>Software!F77</f>
        <v>1400</v>
      </c>
      <c r="D62" s="375">
        <f>Software!G77</f>
        <v>0</v>
      </c>
      <c r="E62" s="379">
        <f>Software!H77</f>
        <v>0</v>
      </c>
    </row>
    <row r="63" spans="1:5" x14ac:dyDescent="0.25">
      <c r="A63" s="377" t="str">
        <f>Software!C78</f>
        <v>02-00042-002</v>
      </c>
      <c r="B63" s="375" t="str">
        <f>Software!D78</f>
        <v xml:space="preserve">v12 Reporting-Lic </v>
      </c>
      <c r="C63" s="379">
        <f>Software!F78</f>
        <v>5</v>
      </c>
      <c r="D63" s="375">
        <f>Software!G78</f>
        <v>0</v>
      </c>
      <c r="E63" s="379">
        <f>Software!H78</f>
        <v>0</v>
      </c>
    </row>
    <row r="64" spans="1:5" x14ac:dyDescent="0.25">
      <c r="A64" s="377" t="str">
        <f>Software!C79</f>
        <v>02-00027-008    </v>
      </c>
      <c r="B64" s="375" t="str">
        <f>Software!D79</f>
        <v>v12 innovaphone Recording Base Lic</v>
      </c>
      <c r="C64" s="379">
        <f>Software!F79</f>
        <v>499</v>
      </c>
      <c r="D64" s="375">
        <f>Software!G79</f>
        <v>0</v>
      </c>
      <c r="E64" s="379">
        <f>Software!H79</f>
        <v>0</v>
      </c>
    </row>
    <row r="65" spans="1:5" x14ac:dyDescent="0.25">
      <c r="A65" s="377" t="str">
        <f>Software!C80</f>
        <v>02-00027-009    </v>
      </c>
      <c r="B65" s="375" t="str">
        <f>Software!D80</f>
        <v>v12 innovaphone Recording User Lic</v>
      </c>
      <c r="C65" s="379">
        <f>Software!F80</f>
        <v>49</v>
      </c>
      <c r="D65" s="375">
        <f>Software!G80</f>
        <v>0</v>
      </c>
      <c r="E65" s="379">
        <f>Software!H80</f>
        <v>0</v>
      </c>
    </row>
    <row r="66" spans="1:5" x14ac:dyDescent="0.25">
      <c r="A66" s="377" t="str">
        <f>Software!C85</f>
        <v>02-00023-002</v>
      </c>
      <c r="B66" s="375" t="str">
        <f>Software!D85</f>
        <v>Software Service</v>
      </c>
      <c r="C66" s="379">
        <f>Software!F85</f>
        <v>0.1</v>
      </c>
      <c r="D66" s="375">
        <f>Software!G85</f>
        <v>0</v>
      </c>
      <c r="E66" s="379">
        <f>Software!H85</f>
        <v>0</v>
      </c>
    </row>
    <row r="67" spans="1:5" ht="6" customHeight="1" x14ac:dyDescent="0.25">
      <c r="A67" s="376"/>
      <c r="B67" s="376"/>
      <c r="C67" s="376"/>
      <c r="D67" s="376"/>
      <c r="E67" s="376"/>
    </row>
    <row r="68" spans="1:5" x14ac:dyDescent="0.25">
      <c r="A68" s="377" t="str">
        <f>Wireless!B74</f>
        <v>50-01202-001</v>
      </c>
      <c r="B68" s="375" t="str">
        <f>Wireless!E74</f>
        <v>IP1202</v>
      </c>
      <c r="C68" s="379">
        <f>Wireless!G74</f>
        <v>878</v>
      </c>
      <c r="D68" s="375">
        <f>Wireless!H74</f>
        <v>0</v>
      </c>
      <c r="E68" s="379">
        <f>Wireless!I74</f>
        <v>0</v>
      </c>
    </row>
    <row r="69" spans="1:5" x14ac:dyDescent="0.25">
      <c r="A69" s="377" t="str">
        <f>Wireless!B75</f>
        <v>50-01202-002</v>
      </c>
      <c r="B69" s="375" t="str">
        <f>Wireless!E75</f>
        <v xml:space="preserve">IP1202/4 </v>
      </c>
      <c r="C69" s="379">
        <f>Wireless!G75</f>
        <v>470</v>
      </c>
      <c r="D69" s="375">
        <f>Wireless!H75</f>
        <v>0</v>
      </c>
      <c r="E69" s="379">
        <f>Wireless!I75</f>
        <v>0</v>
      </c>
    </row>
    <row r="70" spans="1:5" x14ac:dyDescent="0.25">
      <c r="A70" s="377" t="str">
        <f>Wireless!B76</f>
        <v>50-01202-003</v>
      </c>
      <c r="B70" s="375" t="str">
        <f>Wireless!E76</f>
        <v>IP1202e</v>
      </c>
      <c r="C70" s="379">
        <f>Wireless!G76</f>
        <v>1010</v>
      </c>
      <c r="D70" s="375">
        <f>Wireless!H76</f>
        <v>0</v>
      </c>
      <c r="E70" s="379">
        <f>Wireless!I76</f>
        <v>0</v>
      </c>
    </row>
    <row r="71" spans="1:5" x14ac:dyDescent="0.25">
      <c r="A71" s="377" t="str">
        <f>Wireless!B77</f>
        <v>50-00060-019</v>
      </c>
      <c r="B71" s="375" t="str">
        <f>Wireless!E77</f>
        <v>DECT SARI Zertifikat</v>
      </c>
      <c r="C71" s="379">
        <f>Wireless!G77</f>
        <v>40</v>
      </c>
      <c r="D71" s="375">
        <f>Wireless!H77</f>
        <v>0</v>
      </c>
      <c r="E71" s="379">
        <f>Wireless!I77</f>
        <v>0</v>
      </c>
    </row>
    <row r="72" spans="1:5" x14ac:dyDescent="0.25">
      <c r="A72" s="377" t="str">
        <f>Wireless!B78</f>
        <v>50-00060-017</v>
      </c>
      <c r="B72" s="375" t="str">
        <f>Wireless!E78</f>
        <v>DECT PSU IP1202 / IP1202e EU</v>
      </c>
      <c r="C72" s="379">
        <f>Wireless!G78</f>
        <v>73</v>
      </c>
      <c r="D72" s="375">
        <f>Wireless!H78</f>
        <v>0</v>
      </c>
      <c r="E72" s="379">
        <f>Wireless!I78</f>
        <v>0</v>
      </c>
    </row>
    <row r="73" spans="1:5" x14ac:dyDescent="0.25">
      <c r="A73" s="377" t="str">
        <f>Wireless!B79</f>
        <v>50-00060-018</v>
      </c>
      <c r="B73" s="375" t="str">
        <f>Wireless!E79</f>
        <v>DECT PSU IP1202 / IP1202e UK</v>
      </c>
      <c r="C73" s="379">
        <f>Wireless!G79</f>
        <v>73</v>
      </c>
      <c r="D73" s="375">
        <f>Wireless!H79</f>
        <v>0</v>
      </c>
      <c r="E73" s="379">
        <f>Wireless!I79</f>
        <v>0</v>
      </c>
    </row>
    <row r="74" spans="1:5" x14ac:dyDescent="0.25">
      <c r="A74" s="377" t="str">
        <f>Wireless!B80</f>
        <v>50-01202-004</v>
      </c>
      <c r="B74" s="375" t="str">
        <f>Wireless!E80</f>
        <v>IP1202e Dual-Directional-Antenna</v>
      </c>
      <c r="C74" s="379">
        <f>Wireless!G80</f>
        <v>303</v>
      </c>
      <c r="D74" s="375">
        <f>Wireless!H80</f>
        <v>0</v>
      </c>
      <c r="E74" s="379">
        <f>Wireless!I80</f>
        <v>0</v>
      </c>
    </row>
    <row r="75" spans="1:5" x14ac:dyDescent="0.25">
      <c r="A75" s="377" t="str">
        <f>Wireless!B81</f>
        <v>50-01202-005</v>
      </c>
      <c r="B75" s="375" t="str">
        <f>Wireless!E81</f>
        <v>IP1202e Single-Directional-Antenna</v>
      </c>
      <c r="C75" s="379">
        <f>Wireless!G81</f>
        <v>270</v>
      </c>
      <c r="D75" s="375">
        <f>Wireless!H81</f>
        <v>0</v>
      </c>
      <c r="E75" s="379">
        <f>Wireless!I81</f>
        <v>0</v>
      </c>
    </row>
    <row r="76" spans="1:5" x14ac:dyDescent="0.25">
      <c r="A76" s="377" t="str">
        <f>Wireless!B82</f>
        <v>50-01202-006</v>
      </c>
      <c r="B76" s="375" t="str">
        <f>Wireless!E82</f>
        <v>IP1202e Omni-Directional-Antenna</v>
      </c>
      <c r="C76" s="379">
        <f>Wireless!G82</f>
        <v>202</v>
      </c>
      <c r="D76" s="375">
        <f>Wireless!H82</f>
        <v>0</v>
      </c>
      <c r="E76" s="379">
        <f>Wireless!I82</f>
        <v>0</v>
      </c>
    </row>
    <row r="77" spans="1:5" x14ac:dyDescent="0.25">
      <c r="A77" s="377" t="str">
        <f>Wireless!B83</f>
        <v>50-01202-007</v>
      </c>
      <c r="B77" s="375" t="str">
        <f>Wireless!E83</f>
        <v>IP1202 / IP1202e / 1202/4 additional casing</v>
      </c>
      <c r="C77" s="379">
        <f>Wireless!G83</f>
        <v>427</v>
      </c>
      <c r="D77" s="375">
        <f>Wireless!H83</f>
        <v>0</v>
      </c>
      <c r="E77" s="379">
        <f>Wireless!I83</f>
        <v>0</v>
      </c>
    </row>
    <row r="78" spans="1:5" x14ac:dyDescent="0.25">
      <c r="A78" s="680" t="str">
        <f>Wireless!B84</f>
        <v>50-01202-008</v>
      </c>
      <c r="B78" s="681" t="str">
        <f>Wireless!E84</f>
        <v>IP1202e additional casing with heat tracing</v>
      </c>
      <c r="C78" s="682">
        <f>Wireless!G84</f>
        <v>948</v>
      </c>
      <c r="D78" s="681">
        <f>Wireless!H84</f>
        <v>0</v>
      </c>
      <c r="E78" s="682">
        <f>Wireless!I84</f>
        <v>0</v>
      </c>
    </row>
    <row r="79" spans="1:5" x14ac:dyDescent="0.25">
      <c r="A79" s="680" t="str">
        <f>Wireless!B85</f>
        <v>50-00064-001</v>
      </c>
      <c r="B79" s="681" t="str">
        <f>Wireless!E85</f>
        <v>IP64</v>
      </c>
      <c r="C79" s="682">
        <f>Wireless!G85</f>
        <v>99</v>
      </c>
      <c r="D79" s="681">
        <f>Wireless!H85</f>
        <v>0</v>
      </c>
      <c r="E79" s="682">
        <f>Wireless!I85</f>
        <v>0</v>
      </c>
    </row>
    <row r="80" spans="1:5" x14ac:dyDescent="0.25">
      <c r="A80" s="680" t="str">
        <f>Wireless!B86</f>
        <v>50-00063-001</v>
      </c>
      <c r="B80" s="681" t="str">
        <f>Wireless!E86</f>
        <v>IP63</v>
      </c>
      <c r="C80" s="682">
        <f>Wireless!G86</f>
        <v>285</v>
      </c>
      <c r="D80" s="681">
        <f>Wireless!H86</f>
        <v>0</v>
      </c>
      <c r="E80" s="682">
        <f>Wireless!I86</f>
        <v>0</v>
      </c>
    </row>
    <row r="81" spans="1:5" x14ac:dyDescent="0.25">
      <c r="A81" s="680" t="str">
        <f>Wireless!B87</f>
        <v>50-00060-001</v>
      </c>
      <c r="B81" s="681" t="str">
        <f>Wireless!E87</f>
        <v>Charger and PSU IP61/IP63/IP64 EU</v>
      </c>
      <c r="C81" s="682">
        <f>Wireless!G87</f>
        <v>35</v>
      </c>
      <c r="D81" s="681">
        <f>Wireless!H87</f>
        <v>0</v>
      </c>
      <c r="E81" s="682">
        <f>Wireless!I87</f>
        <v>0</v>
      </c>
    </row>
    <row r="82" spans="1:5" x14ac:dyDescent="0.25">
      <c r="A82" s="680" t="str">
        <f>Wireless!B88</f>
        <v>50-00060-002</v>
      </c>
      <c r="B82" s="681" t="str">
        <f>Wireless!E88</f>
        <v>Charger and PSU IP61/P63/IP64 UK/US/AUS</v>
      </c>
      <c r="C82" s="682">
        <f>Wireless!G88</f>
        <v>35</v>
      </c>
      <c r="D82" s="681">
        <f>Wireless!H88</f>
        <v>0</v>
      </c>
      <c r="E82" s="682">
        <f>Wireless!I88</f>
        <v>0</v>
      </c>
    </row>
    <row r="83" spans="1:5" x14ac:dyDescent="0.25">
      <c r="A83" s="680" t="str">
        <f>Wireless!B89</f>
        <v>50-00060-003</v>
      </c>
      <c r="B83" s="681" t="str">
        <f>Wireless!E89</f>
        <v>IP DECT charger/ programming kit and PSU (IP61 / IP63) with adapter for EU</v>
      </c>
      <c r="C83" s="682">
        <f>Wireless!G89</f>
        <v>150</v>
      </c>
      <c r="D83" s="681">
        <f>Wireless!H89</f>
        <v>0</v>
      </c>
      <c r="E83" s="682">
        <f>Wireless!I89</f>
        <v>0</v>
      </c>
    </row>
    <row r="84" spans="1:5" x14ac:dyDescent="0.25">
      <c r="A84" s="680" t="str">
        <f>Wireless!B90</f>
        <v>50-00060-004</v>
      </c>
      <c r="B84" s="681" t="str">
        <f>Wireless!E90</f>
        <v>IP DECT charger/ programming kit and PSU (IP61 / IP63) with adapter for UK</v>
      </c>
      <c r="C84" s="682">
        <f>Wireless!G90</f>
        <v>150</v>
      </c>
      <c r="D84" s="681">
        <f>Wireless!H90</f>
        <v>0</v>
      </c>
      <c r="E84" s="682">
        <f>Wireless!I90</f>
        <v>0</v>
      </c>
    </row>
    <row r="85" spans="1:5" x14ac:dyDescent="0.25">
      <c r="A85" s="680" t="str">
        <f>Wireless!B91</f>
        <v>50-00060-005</v>
      </c>
      <c r="B85" s="681" t="str">
        <f>Wireless!E91</f>
        <v>DECT Battery IP61 / IP64</v>
      </c>
      <c r="C85" s="682">
        <f>Wireless!G91</f>
        <v>14</v>
      </c>
      <c r="D85" s="681">
        <f>Wireless!H91</f>
        <v>0</v>
      </c>
      <c r="E85" s="682">
        <f>Wireless!I91</f>
        <v>0</v>
      </c>
    </row>
    <row r="86" spans="1:5" x14ac:dyDescent="0.25">
      <c r="A86" s="680" t="str">
        <f>Wireless!B92</f>
        <v>50-00060-006</v>
      </c>
      <c r="B86" s="681" t="str">
        <f>Wireless!E92</f>
        <v>Multicharger IP61 / IP63 / IP64</v>
      </c>
      <c r="C86" s="682">
        <f>Wireless!G92</f>
        <v>450</v>
      </c>
      <c r="D86" s="681">
        <f>Wireless!H92</f>
        <v>0</v>
      </c>
      <c r="E86" s="682">
        <f>Wireless!I92</f>
        <v>0</v>
      </c>
    </row>
    <row r="87" spans="1:5" x14ac:dyDescent="0.25">
      <c r="A87" s="680" t="str">
        <f>Wireless!B93</f>
        <v>50-00060-007</v>
      </c>
      <c r="B87" s="681" t="str">
        <f>Wireless!E93</f>
        <v>Battery Multicharger IP63</v>
      </c>
      <c r="C87" s="682">
        <f>Wireless!G93</f>
        <v>450</v>
      </c>
      <c r="D87" s="681">
        <f>Wireless!H93</f>
        <v>0</v>
      </c>
      <c r="E87" s="682">
        <f>Wireless!I93</f>
        <v>0</v>
      </c>
    </row>
    <row r="88" spans="1:5" x14ac:dyDescent="0.25">
      <c r="A88" s="680" t="str">
        <f>Wireless!B94</f>
        <v>50-00060-008</v>
      </c>
      <c r="B88" s="681" t="str">
        <f>Wireless!E94</f>
        <v>Battery IP63</v>
      </c>
      <c r="C88" s="682">
        <f>Wireless!G94</f>
        <v>20.5</v>
      </c>
      <c r="D88" s="681">
        <f>Wireless!H94</f>
        <v>0</v>
      </c>
      <c r="E88" s="682">
        <f>Wireless!I94</f>
        <v>0</v>
      </c>
    </row>
    <row r="89" spans="1:5" x14ac:dyDescent="0.25">
      <c r="A89" s="680" t="str">
        <f>Wireless!B95</f>
        <v>50-00060-009</v>
      </c>
      <c r="B89" s="681" t="str">
        <f>Wireless!E95</f>
        <v>Swivel Clip IP63</v>
      </c>
      <c r="C89" s="682">
        <f>Wireless!G95</f>
        <v>11.5</v>
      </c>
      <c r="D89" s="681">
        <f>Wireless!H95</f>
        <v>0</v>
      </c>
      <c r="E89" s="682">
        <f>Wireless!I95</f>
        <v>0</v>
      </c>
    </row>
    <row r="90" spans="1:5" x14ac:dyDescent="0.25">
      <c r="A90" s="680" t="str">
        <f>Wireless!B96</f>
        <v>50-00060-010</v>
      </c>
      <c r="B90" s="681" t="str">
        <f>Wireless!E96</f>
        <v>Security chain IP61 / IP63 / IP64</v>
      </c>
      <c r="C90" s="682">
        <f>Wireless!G96</f>
        <v>9</v>
      </c>
      <c r="D90" s="681">
        <f>Wireless!H96</f>
        <v>0</v>
      </c>
      <c r="E90" s="682">
        <f>Wireless!I96</f>
        <v>0</v>
      </c>
    </row>
    <row r="91" spans="1:5" x14ac:dyDescent="0.25">
      <c r="A91" s="680" t="str">
        <f>Wireless!B97</f>
        <v>50-00060-011</v>
      </c>
      <c r="B91" s="681" t="str">
        <f>Wireless!E97</f>
        <v>Standard belt clip IP61 / IP64</v>
      </c>
      <c r="C91" s="682">
        <f>Wireless!G97</f>
        <v>3.5</v>
      </c>
      <c r="D91" s="681">
        <f>Wireless!H97</f>
        <v>0</v>
      </c>
      <c r="E91" s="682">
        <f>Wireless!I97</f>
        <v>0</v>
      </c>
    </row>
    <row r="92" spans="1:5" x14ac:dyDescent="0.25">
      <c r="A92" s="680" t="str">
        <f>Wireless!B98</f>
        <v>50-00060-012</v>
      </c>
      <c r="B92" s="681" t="str">
        <f>Wireless!E98</f>
        <v>Standard belt clip IP63</v>
      </c>
      <c r="C92" s="682">
        <f>Wireless!G98</f>
        <v>5</v>
      </c>
      <c r="D92" s="681">
        <f>Wireless!H98</f>
        <v>0</v>
      </c>
      <c r="E92" s="682">
        <f>Wireless!I98</f>
        <v>0</v>
      </c>
    </row>
    <row r="93" spans="1:5" x14ac:dyDescent="0.25">
      <c r="A93" s="680" t="str">
        <f>Wireless!B99</f>
        <v>50-00060-013</v>
      </c>
      <c r="B93" s="681" t="str">
        <f>Wireless!E99</f>
        <v>Leather case IP61</v>
      </c>
      <c r="C93" s="682">
        <f>Wireless!G99</f>
        <v>27.5</v>
      </c>
      <c r="D93" s="681">
        <f>Wireless!H99</f>
        <v>0</v>
      </c>
      <c r="E93" s="682">
        <f>Wireless!I99</f>
        <v>0</v>
      </c>
    </row>
    <row r="94" spans="1:5" x14ac:dyDescent="0.25">
      <c r="A94" s="680" t="str">
        <f>Wireless!B100</f>
        <v>50-00060-014</v>
      </c>
      <c r="B94" s="681" t="str">
        <f>Wireless!E100</f>
        <v>Leather case IP63</v>
      </c>
      <c r="C94" s="682">
        <f>Wireless!G100</f>
        <v>27.5</v>
      </c>
      <c r="D94" s="681">
        <f>Wireless!H100</f>
        <v>0</v>
      </c>
      <c r="E94" s="682">
        <f>Wireless!I100</f>
        <v>0</v>
      </c>
    </row>
    <row r="95" spans="1:5" x14ac:dyDescent="0.25">
      <c r="A95" s="680" t="str">
        <f>Wireless!B101</f>
        <v>50-00060-026</v>
      </c>
      <c r="B95" s="681" t="str">
        <f>Wireless!E101</f>
        <v>Leather case IP64</v>
      </c>
      <c r="C95" s="682">
        <f>Wireless!G101</f>
        <v>27.5</v>
      </c>
      <c r="D95" s="681">
        <f>Wireless!H101</f>
        <v>0</v>
      </c>
      <c r="E95" s="682">
        <f>Wireless!I101</f>
        <v>0</v>
      </c>
    </row>
    <row r="96" spans="1:5" x14ac:dyDescent="0.25">
      <c r="A96" s="680" t="str">
        <f>Wireless!B102</f>
        <v>50-00060-015</v>
      </c>
      <c r="B96" s="681" t="str">
        <f>Wireless!E102</f>
        <v>Headset IP61 / IP63</v>
      </c>
      <c r="C96" s="682">
        <f>Wireless!G102</f>
        <v>285</v>
      </c>
      <c r="D96" s="681">
        <f>Wireless!H102</f>
        <v>0</v>
      </c>
      <c r="E96" s="682">
        <f>Wireless!I102</f>
        <v>0</v>
      </c>
    </row>
    <row r="97" spans="1:5" x14ac:dyDescent="0.25">
      <c r="A97" s="680" t="str">
        <f>Wireless!B103</f>
        <v>50-00060-030</v>
      </c>
      <c r="B97" s="681" t="str">
        <f>Wireless!E103</f>
        <v>Headset IP64</v>
      </c>
      <c r="C97" s="682">
        <f>Wireless!G103</f>
        <v>285</v>
      </c>
      <c r="D97" s="681">
        <f>Wireless!H103</f>
        <v>0</v>
      </c>
      <c r="E97" s="682">
        <f>Wireless!I103</f>
        <v>0</v>
      </c>
    </row>
    <row r="98" spans="1:5" x14ac:dyDescent="0.25">
      <c r="A98" s="680" t="str">
        <f>Wireless!B104</f>
        <v>50-00060-016</v>
      </c>
      <c r="B98" s="681" t="str">
        <f>Wireless!E104</f>
        <v>Headset cable with phone jack IP61 / IP63</v>
      </c>
      <c r="C98" s="682">
        <f>Wireless!G104</f>
        <v>37.5</v>
      </c>
      <c r="D98" s="681">
        <f>Wireless!H104</f>
        <v>0</v>
      </c>
      <c r="E98" s="682">
        <f>Wireless!I104</f>
        <v>0</v>
      </c>
    </row>
    <row r="99" spans="1:5" x14ac:dyDescent="0.25">
      <c r="A99" s="680" t="str">
        <f>Wireless!B105</f>
        <v>50-00060-029</v>
      </c>
      <c r="B99" s="681" t="str">
        <f>Wireless!E105</f>
        <v>Headset cable with phone jack IP64</v>
      </c>
      <c r="C99" s="682">
        <f>Wireless!G105</f>
        <v>37.5</v>
      </c>
      <c r="D99" s="681">
        <f>Wireless!H105</f>
        <v>0</v>
      </c>
      <c r="E99" s="682">
        <f>Wireless!I105</f>
        <v>0</v>
      </c>
    </row>
    <row r="100" spans="1:5" x14ac:dyDescent="0.25">
      <c r="A100" s="680" t="str">
        <f>Wireless!B106</f>
        <v>50-00060-021</v>
      </c>
      <c r="B100" s="681" t="str">
        <f>Wireless!E106</f>
        <v>Desktop programming kit IP64</v>
      </c>
      <c r="C100" s="682">
        <f>Wireless!G106</f>
        <v>150</v>
      </c>
      <c r="D100" s="681">
        <f>Wireless!H106</f>
        <v>0</v>
      </c>
      <c r="E100" s="682">
        <f>Wireless!I106</f>
        <v>0</v>
      </c>
    </row>
    <row r="101" spans="1:5" x14ac:dyDescent="0.25">
      <c r="A101" s="377" t="str">
        <f>Wireless!B107</f>
        <v>50-00081-001</v>
      </c>
      <c r="B101" s="375" t="str">
        <f>Wireless!E107</f>
        <v>D81 DECT phone</v>
      </c>
      <c r="C101" s="379">
        <f>Wireless!G107</f>
        <v>501</v>
      </c>
      <c r="D101" s="375">
        <f>Wireless!H107</f>
        <v>0</v>
      </c>
      <c r="E101" s="379">
        <f>Wireless!I107</f>
        <v>0</v>
      </c>
    </row>
    <row r="102" spans="1:5" x14ac:dyDescent="0.25">
      <c r="A102" s="377" t="str">
        <f>Wireless!B108</f>
        <v>50-00081-002</v>
      </c>
      <c r="B102" s="375" t="str">
        <f>Wireless!E108</f>
        <v>D81 ex. DECT phone</v>
      </c>
      <c r="C102" s="379">
        <f>Wireless!G108</f>
        <v>925</v>
      </c>
      <c r="D102" s="375">
        <f>Wireless!H108</f>
        <v>0</v>
      </c>
      <c r="E102" s="379">
        <f>Wireless!I108</f>
        <v>0</v>
      </c>
    </row>
    <row r="103" spans="1:5" x14ac:dyDescent="0.25">
      <c r="A103" s="377" t="str">
        <f>Wireless!B109</f>
        <v>50-00081-003</v>
      </c>
      <c r="B103" s="375" t="str">
        <f>Wireless!E109</f>
        <v>DECT Charger and PSU D81/D81 ex. EU</v>
      </c>
      <c r="C103" s="379">
        <f>Wireless!G109</f>
        <v>50</v>
      </c>
      <c r="D103" s="375">
        <f>Wireless!H109</f>
        <v>0</v>
      </c>
      <c r="E103" s="379">
        <f>Wireless!I109</f>
        <v>0</v>
      </c>
    </row>
    <row r="104" spans="1:5" x14ac:dyDescent="0.25">
      <c r="A104" s="377" t="str">
        <f>Wireless!B110</f>
        <v>50-00081-004</v>
      </c>
      <c r="B104" s="375" t="str">
        <f>Wireless!E110</f>
        <v>DECT Charger and PSU D81/I62/D81 ex. UK</v>
      </c>
      <c r="C104" s="379">
        <f>Wireless!G110</f>
        <v>50</v>
      </c>
      <c r="D104" s="375">
        <f>Wireless!H110</f>
        <v>0</v>
      </c>
      <c r="E104" s="379">
        <f>Wireless!I110</f>
        <v>0</v>
      </c>
    </row>
    <row r="105" spans="1:5" x14ac:dyDescent="0.25">
      <c r="A105" s="377" t="str">
        <f>Wireless!B111</f>
        <v>50-00081-005</v>
      </c>
      <c r="B105" s="375" t="str">
        <f>Wireless!E111</f>
        <v>Battery D81</v>
      </c>
      <c r="C105" s="379">
        <f>Wireless!G111</f>
        <v>65</v>
      </c>
      <c r="D105" s="375">
        <f>Wireless!H111</f>
        <v>0</v>
      </c>
      <c r="E105" s="379">
        <f>Wireless!I111</f>
        <v>0</v>
      </c>
    </row>
    <row r="106" spans="1:5" x14ac:dyDescent="0.25">
      <c r="A106" s="377" t="str">
        <f>Wireless!B112</f>
        <v>50-00081-006</v>
      </c>
      <c r="B106" s="375" t="str">
        <f>Wireless!E112</f>
        <v>Battery D81 ex</v>
      </c>
      <c r="C106" s="379">
        <f>Wireless!G112</f>
        <v>75</v>
      </c>
      <c r="D106" s="375">
        <f>Wireless!H112</f>
        <v>0</v>
      </c>
      <c r="E106" s="379">
        <f>Wireless!I112</f>
        <v>0</v>
      </c>
    </row>
    <row r="107" spans="1:5" x14ac:dyDescent="0.25">
      <c r="A107" s="377" t="str">
        <f>Wireless!B113</f>
        <v>50-00081-007</v>
      </c>
      <c r="B107" s="375" t="str">
        <f>Wireless!E113</f>
        <v>Battery pack opener D81 ex.</v>
      </c>
      <c r="C107" s="379">
        <f>Wireless!G113</f>
        <v>14</v>
      </c>
      <c r="D107" s="375">
        <f>Wireless!H113</f>
        <v>0</v>
      </c>
      <c r="E107" s="379">
        <f>Wireless!I113</f>
        <v>0</v>
      </c>
    </row>
    <row r="108" spans="1:5" x14ac:dyDescent="0.25">
      <c r="A108" s="377" t="str">
        <f>Wireless!B114</f>
        <v>50-00081-009</v>
      </c>
      <c r="B108" s="375" t="str">
        <f>Wireless!E114</f>
        <v>D81 Belt clip</v>
      </c>
      <c r="C108" s="379">
        <f>Wireless!G114</f>
        <v>11.5</v>
      </c>
      <c r="D108" s="375">
        <f>Wireless!H114</f>
        <v>0</v>
      </c>
      <c r="E108" s="379">
        <f>Wireless!I114</f>
        <v>0</v>
      </c>
    </row>
    <row r="109" spans="1:5" x14ac:dyDescent="0.25">
      <c r="A109" s="377" t="str">
        <f>Wireless!B115</f>
        <v>50-00081-010</v>
      </c>
      <c r="B109" s="375" t="str">
        <f>Wireless!E115</f>
        <v>D81 Leather case</v>
      </c>
      <c r="C109" s="379">
        <f>Wireless!G115</f>
        <v>62</v>
      </c>
      <c r="D109" s="375">
        <f>Wireless!H115</f>
        <v>0</v>
      </c>
      <c r="E109" s="379">
        <f>Wireless!I115</f>
        <v>0</v>
      </c>
    </row>
    <row r="110" spans="1:5" ht="6" customHeight="1" x14ac:dyDescent="0.25">
      <c r="A110" s="378"/>
      <c r="B110" s="376"/>
      <c r="C110" s="380"/>
      <c r="D110" s="376"/>
      <c r="E110" s="380"/>
    </row>
    <row r="111" spans="1:5" x14ac:dyDescent="0.25">
      <c r="A111" s="377" t="str">
        <f>Wireless!B116</f>
        <v>50-00062-001</v>
      </c>
      <c r="B111" s="375" t="str">
        <f>Wireless!E116</f>
        <v>IP62 WLAN phone</v>
      </c>
      <c r="C111" s="379">
        <f>Wireless!G116</f>
        <v>336</v>
      </c>
      <c r="D111" s="375">
        <f>Wireless!H116</f>
        <v>0</v>
      </c>
      <c r="E111" s="379">
        <f>Wireless!I116</f>
        <v>0</v>
      </c>
    </row>
    <row r="112" spans="1:5" x14ac:dyDescent="0.25">
      <c r="A112" s="377" t="str">
        <f>Wireless!B117</f>
        <v>50-00060-021</v>
      </c>
      <c r="B112" s="375" t="str">
        <f>Wireless!E117</f>
        <v>Desktop programming kit IP62</v>
      </c>
      <c r="C112" s="379">
        <f>Wireless!G117</f>
        <v>150</v>
      </c>
      <c r="D112" s="375">
        <f>Wireless!H117</f>
        <v>0</v>
      </c>
      <c r="E112" s="379">
        <f>Wireless!I117</f>
        <v>0</v>
      </c>
    </row>
    <row r="113" spans="1:5" x14ac:dyDescent="0.25">
      <c r="A113" s="377" t="str">
        <f>Wireless!B118</f>
        <v>50-00060-001</v>
      </c>
      <c r="B113" s="375" t="str">
        <f>Wireless!E118</f>
        <v>Charger and PSU IP62 EU</v>
      </c>
      <c r="C113" s="379">
        <f>Wireless!G118</f>
        <v>35</v>
      </c>
      <c r="D113" s="375">
        <f>Wireless!H118</f>
        <v>0</v>
      </c>
      <c r="E113" s="379">
        <f>Wireless!I118</f>
        <v>0</v>
      </c>
    </row>
    <row r="114" spans="1:5" x14ac:dyDescent="0.25">
      <c r="A114" s="377" t="str">
        <f>Wireless!B119</f>
        <v>50-00060-002</v>
      </c>
      <c r="B114" s="375" t="str">
        <f>Wireless!E119</f>
        <v>Charger and PSU IP62/UK/US/AUS</v>
      </c>
      <c r="C114" s="379">
        <f>Wireless!G119</f>
        <v>35</v>
      </c>
      <c r="D114" s="375">
        <f>Wireless!H119</f>
        <v>0</v>
      </c>
      <c r="E114" s="379">
        <f>Wireless!I119</f>
        <v>0</v>
      </c>
    </row>
    <row r="115" spans="1:5" x14ac:dyDescent="0.25">
      <c r="A115" s="377" t="str">
        <f>Wireless!B120</f>
        <v>50-00060-006</v>
      </c>
      <c r="B115" s="375" t="str">
        <f>Wireless!E120</f>
        <v>Multicharger IP62</v>
      </c>
      <c r="C115" s="379">
        <f>Wireless!G120</f>
        <v>450</v>
      </c>
      <c r="D115" s="375">
        <f>Wireless!H120</f>
        <v>0</v>
      </c>
      <c r="E115" s="379">
        <f>Wireless!I120</f>
        <v>0</v>
      </c>
    </row>
    <row r="116" spans="1:5" x14ac:dyDescent="0.25">
      <c r="A116" s="377" t="str">
        <f>Wireless!B121</f>
        <v>50-00060-007</v>
      </c>
      <c r="B116" s="375" t="str">
        <f>Wireless!E121</f>
        <v>Battery Multicharger IP62</v>
      </c>
      <c r="C116" s="379">
        <f>Wireless!G121</f>
        <v>450</v>
      </c>
      <c r="D116" s="375">
        <f>Wireless!H121</f>
        <v>0</v>
      </c>
      <c r="E116" s="379">
        <f>Wireless!I121</f>
        <v>0</v>
      </c>
    </row>
    <row r="117" spans="1:5" x14ac:dyDescent="0.25">
      <c r="A117" s="377" t="str">
        <f>Wireless!B122</f>
        <v>50-00060-008</v>
      </c>
      <c r="B117" s="375" t="str">
        <f>Wireless!E122</f>
        <v>Battery IP62</v>
      </c>
      <c r="C117" s="379">
        <f>Wireless!G122</f>
        <v>20.5</v>
      </c>
      <c r="D117" s="375">
        <f>Wireless!H122</f>
        <v>0</v>
      </c>
      <c r="E117" s="379">
        <f>Wireless!I122</f>
        <v>0</v>
      </c>
    </row>
    <row r="118" spans="1:5" x14ac:dyDescent="0.25">
      <c r="A118" s="377" t="str">
        <f>Wireless!B123</f>
        <v>50-00060-009</v>
      </c>
      <c r="B118" s="375" t="str">
        <f>Wireless!E123</f>
        <v>Swivel Clip IP62</v>
      </c>
      <c r="C118" s="379">
        <f>Wireless!G123</f>
        <v>11.5</v>
      </c>
      <c r="D118" s="375">
        <f>Wireless!H123</f>
        <v>0</v>
      </c>
      <c r="E118" s="379">
        <f>Wireless!I123</f>
        <v>0</v>
      </c>
    </row>
    <row r="119" spans="1:5" x14ac:dyDescent="0.25">
      <c r="A119" s="377" t="str">
        <f>Wireless!B124</f>
        <v>50-00060-010</v>
      </c>
      <c r="B119" s="375" t="str">
        <f>Wireless!E124</f>
        <v>Security chain IP62</v>
      </c>
      <c r="C119" s="379">
        <f>Wireless!G124</f>
        <v>9</v>
      </c>
      <c r="D119" s="375">
        <f>Wireless!H124</f>
        <v>0</v>
      </c>
      <c r="E119" s="379">
        <f>Wireless!I124</f>
        <v>0</v>
      </c>
    </row>
    <row r="120" spans="1:5" x14ac:dyDescent="0.25">
      <c r="A120" s="377" t="str">
        <f>Wireless!B125</f>
        <v>50-00060-012</v>
      </c>
      <c r="B120" s="375" t="str">
        <f>Wireless!E125</f>
        <v>Standard belt clip IP62</v>
      </c>
      <c r="C120" s="379">
        <f>Wireless!G125</f>
        <v>5</v>
      </c>
      <c r="D120" s="375">
        <f>Wireless!H125</f>
        <v>0</v>
      </c>
      <c r="E120" s="379">
        <f>Wireless!I125</f>
        <v>0</v>
      </c>
    </row>
    <row r="121" spans="1:5" x14ac:dyDescent="0.25">
      <c r="A121" s="377" t="str">
        <f>Wireless!B126</f>
        <v>50-00060-014</v>
      </c>
      <c r="B121" s="375" t="str">
        <f>Wireless!E126</f>
        <v>Leather Case IP62</v>
      </c>
      <c r="C121" s="379">
        <f>Wireless!G126</f>
        <v>27.5</v>
      </c>
      <c r="D121" s="375">
        <f>Wireless!H126</f>
        <v>0</v>
      </c>
      <c r="E121" s="379">
        <f>Wireless!I126</f>
        <v>0</v>
      </c>
    </row>
    <row r="122" spans="1:5" x14ac:dyDescent="0.25">
      <c r="A122" s="377" t="str">
        <f>Wireless!B127</f>
        <v>50-00060-015</v>
      </c>
      <c r="B122" s="375" t="str">
        <f>Wireless!E127</f>
        <v>Headset IP62</v>
      </c>
      <c r="C122" s="379">
        <f>Wireless!G127</f>
        <v>285</v>
      </c>
      <c r="D122" s="375">
        <f>Wireless!H127</f>
        <v>0</v>
      </c>
      <c r="E122" s="379">
        <f>Wireless!I127</f>
        <v>0</v>
      </c>
    </row>
    <row r="123" spans="1:5" x14ac:dyDescent="0.25">
      <c r="A123" s="377" t="str">
        <f>Wireless!B128</f>
        <v>50-00060-016</v>
      </c>
      <c r="B123" s="375" t="str">
        <f>Wireless!E128</f>
        <v>Headset cable with phone jack IP62</v>
      </c>
      <c r="C123" s="379">
        <f>Wireless!G128</f>
        <v>37.5</v>
      </c>
      <c r="D123" s="375">
        <f>Wireless!H128</f>
        <v>0</v>
      </c>
      <c r="E123" s="379">
        <f>Wireless!I128</f>
        <v>0</v>
      </c>
    </row>
    <row r="124" spans="1:5" ht="6" customHeight="1" x14ac:dyDescent="0.25">
      <c r="A124" s="376"/>
      <c r="B124" s="376"/>
      <c r="C124" s="376"/>
      <c r="D124" s="376"/>
      <c r="E124" s="376"/>
    </row>
    <row r="125" spans="1:5" x14ac:dyDescent="0.25">
      <c r="A125" s="377" t="str">
        <f>Warranty!A48</f>
        <v>12-00400-002</v>
      </c>
      <c r="B125" s="375" t="str">
        <f>Warranty!C48</f>
        <v>Warranty Extension on purchase for IP22</v>
      </c>
      <c r="C125" s="379">
        <f>Warranty!E48</f>
        <v>12</v>
      </c>
      <c r="D125" s="375">
        <f>Warranty!F48</f>
        <v>0</v>
      </c>
      <c r="E125" s="379">
        <f>Warranty!G48</f>
        <v>0</v>
      </c>
    </row>
    <row r="126" spans="1:5" x14ac:dyDescent="0.25">
      <c r="A126" s="377" t="str">
        <f>Warranty!A49</f>
        <v>12-00400-062</v>
      </c>
      <c r="B126" s="375" t="str">
        <f>Warranty!C49</f>
        <v>Warranty Extension on purchase for IP29-4</v>
      </c>
      <c r="C126" s="379">
        <f>Warranty!E49</f>
        <v>17</v>
      </c>
      <c r="D126" s="375">
        <f>Warranty!F49</f>
        <v>0</v>
      </c>
      <c r="E126" s="379">
        <f>Warranty!G49</f>
        <v>0</v>
      </c>
    </row>
    <row r="127" spans="1:5" x14ac:dyDescent="0.25">
      <c r="A127" s="377" t="str">
        <f>Warranty!A50</f>
        <v>12-00400-058</v>
      </c>
      <c r="B127" s="375" t="str">
        <f>Warranty!C50</f>
        <v>Warranty Extension on purchase for IP29</v>
      </c>
      <c r="C127" s="379">
        <f>Warranty!E50</f>
        <v>19</v>
      </c>
      <c r="D127" s="375">
        <f>Warranty!F50</f>
        <v>0</v>
      </c>
      <c r="E127" s="379">
        <f>Warranty!G50</f>
        <v>0</v>
      </c>
    </row>
    <row r="128" spans="1:5" x14ac:dyDescent="0.25">
      <c r="A128" s="377" t="str">
        <f>Warranty!A51</f>
        <v>12-00400-053</v>
      </c>
      <c r="B128" s="375" t="str">
        <f>Warranty!C51</f>
        <v>Warranty Extension on purchase for IP311</v>
      </c>
      <c r="C128" s="379">
        <f>Warranty!E51</f>
        <v>16</v>
      </c>
      <c r="D128" s="375">
        <f>Warranty!F51</f>
        <v>0</v>
      </c>
      <c r="E128" s="379">
        <f>Warranty!G51</f>
        <v>0</v>
      </c>
    </row>
    <row r="129" spans="1:5" x14ac:dyDescent="0.25">
      <c r="A129" s="377" t="str">
        <f>Warranty!A52</f>
        <v>12-00400-054</v>
      </c>
      <c r="B129" s="375" t="str">
        <f>Warranty!C52</f>
        <v>Warranty Extension on purchase for IP411</v>
      </c>
      <c r="C129" s="379">
        <f>Warranty!E52</f>
        <v>16</v>
      </c>
      <c r="D129" s="375">
        <f>Warranty!F52</f>
        <v>0</v>
      </c>
      <c r="E129" s="379">
        <f>Warranty!G52</f>
        <v>0</v>
      </c>
    </row>
    <row r="130" spans="1:5" x14ac:dyDescent="0.25">
      <c r="A130" s="377" t="str">
        <f>Warranty!A53</f>
        <v>12-00400-055</v>
      </c>
      <c r="B130" s="375" t="str">
        <f>Warranty!C53</f>
        <v>Warranty Extension on purchase for IP811</v>
      </c>
      <c r="C130" s="379">
        <f>Warranty!E53</f>
        <v>27</v>
      </c>
      <c r="D130" s="375">
        <f>Warranty!F53</f>
        <v>0</v>
      </c>
      <c r="E130" s="379">
        <f>Warranty!G53</f>
        <v>0</v>
      </c>
    </row>
    <row r="131" spans="1:5" x14ac:dyDescent="0.25">
      <c r="A131" s="377" t="str">
        <f>Warranty!A54</f>
        <v>12-00400-059</v>
      </c>
      <c r="B131" s="375" t="str">
        <f>Warranty!C54</f>
        <v>Warranty Extension on purchase for IP0011</v>
      </c>
      <c r="C131" s="379">
        <f>Warranty!E54</f>
        <v>17.5</v>
      </c>
      <c r="D131" s="375">
        <f>Warranty!F54</f>
        <v>0</v>
      </c>
      <c r="E131" s="379">
        <f>Warranty!G54</f>
        <v>0</v>
      </c>
    </row>
    <row r="132" spans="1:5" x14ac:dyDescent="0.25">
      <c r="A132" s="377" t="str">
        <f>Warranty!A55</f>
        <v>12-00400-057</v>
      </c>
      <c r="B132" s="375" t="str">
        <f>Warranty!C55</f>
        <v>Warranty Extension on purchase for IP3011</v>
      </c>
      <c r="C132" s="379">
        <f>Warranty!E55</f>
        <v>61.5</v>
      </c>
      <c r="D132" s="375">
        <f>Warranty!F55</f>
        <v>0</v>
      </c>
      <c r="E132" s="379">
        <f>Warranty!G55</f>
        <v>0</v>
      </c>
    </row>
    <row r="133" spans="1:5" x14ac:dyDescent="0.25">
      <c r="A133" s="377" t="str">
        <f>Warranty!A56</f>
        <v>12-00400-056</v>
      </c>
      <c r="B133" s="375" t="str">
        <f>Warranty!C56</f>
        <v>Warranty Extension on purchase for IP1130</v>
      </c>
      <c r="C133" s="379">
        <f>Warranty!E56</f>
        <v>49</v>
      </c>
      <c r="D133" s="375">
        <f>Warranty!F56</f>
        <v>0</v>
      </c>
      <c r="E133" s="379">
        <f>Warranty!G56</f>
        <v>0</v>
      </c>
    </row>
    <row r="134" spans="1:5" x14ac:dyDescent="0.25">
      <c r="A134" s="377" t="str">
        <f>Warranty!A57</f>
        <v>12-00400-033</v>
      </c>
      <c r="B134" s="375" t="str">
        <f>Warranty!C57</f>
        <v>Warranty Extension on purchase for IP6010</v>
      </c>
      <c r="C134" s="379">
        <f>Warranty!E57</f>
        <v>286</v>
      </c>
      <c r="D134" s="375">
        <f>Warranty!F57</f>
        <v>0</v>
      </c>
      <c r="E134" s="379">
        <f>Warranty!G57</f>
        <v>0</v>
      </c>
    </row>
    <row r="135" spans="1:5" x14ac:dyDescent="0.25">
      <c r="A135" s="377" t="str">
        <f>Warranty!A58</f>
        <v>12-00400-046</v>
      </c>
      <c r="B135" s="375" t="str">
        <f>Warranty!C58</f>
        <v>Warranty Extension on purchase for IP38</v>
      </c>
      <c r="C135" s="379">
        <f>Warranty!E58</f>
        <v>19</v>
      </c>
      <c r="D135" s="375">
        <f>Warranty!F58</f>
        <v>0</v>
      </c>
      <c r="E135" s="379">
        <f>Warranty!G58</f>
        <v>0</v>
      </c>
    </row>
    <row r="136" spans="1:5" x14ac:dyDescent="0.25">
      <c r="A136" s="377" t="str">
        <f>Warranty!A59</f>
        <v>12-00400-048</v>
      </c>
      <c r="B136" s="375" t="str">
        <f>Warranty!C59</f>
        <v>Warranty Extension on purchase for IP111</v>
      </c>
      <c r="C136" s="379">
        <f>Warranty!E59</f>
        <v>5.5</v>
      </c>
      <c r="D136" s="375">
        <f>Warranty!F59</f>
        <v>0</v>
      </c>
      <c r="E136" s="379">
        <f>Warranty!G59</f>
        <v>0</v>
      </c>
    </row>
    <row r="137" spans="1:5" x14ac:dyDescent="0.25">
      <c r="A137" s="377" t="str">
        <f>Warranty!A60</f>
        <v>12-00400-052</v>
      </c>
      <c r="B137" s="375" t="str">
        <f>Warranty!C60</f>
        <v>Warranty Extension on purchase for IP112</v>
      </c>
      <c r="C137" s="379">
        <f>Warranty!E60</f>
        <v>6</v>
      </c>
      <c r="D137" s="375">
        <f>Warranty!F60</f>
        <v>0</v>
      </c>
      <c r="E137" s="379">
        <f>Warranty!G60</f>
        <v>0</v>
      </c>
    </row>
    <row r="138" spans="1:5" x14ac:dyDescent="0.25">
      <c r="A138" s="377" t="str">
        <f>Warranty!A61</f>
        <v>12-00400-028</v>
      </c>
      <c r="B138" s="375" t="str">
        <f>Warranty!C61</f>
        <v>Warranty Extension on purchase for IP222 (black)</v>
      </c>
      <c r="C138" s="379">
        <f>Warranty!E61</f>
        <v>7</v>
      </c>
      <c r="D138" s="375">
        <f>Warranty!F61</f>
        <v>0</v>
      </c>
      <c r="E138" s="379">
        <f>Warranty!G61</f>
        <v>0</v>
      </c>
    </row>
    <row r="139" spans="1:5" x14ac:dyDescent="0.25">
      <c r="A139" s="377" t="str">
        <f>Warranty!A62</f>
        <v>12-00400-044</v>
      </c>
      <c r="B139" s="375" t="str">
        <f>Warranty!C62</f>
        <v>Warranty Extension on purchase for IP222 (white)</v>
      </c>
      <c r="C139" s="379">
        <f>Warranty!E62</f>
        <v>9</v>
      </c>
      <c r="D139" s="375">
        <f>Warranty!F62</f>
        <v>0</v>
      </c>
      <c r="E139" s="379">
        <f>Warranty!G62</f>
        <v>0</v>
      </c>
    </row>
    <row r="140" spans="1:5" x14ac:dyDescent="0.25">
      <c r="A140" s="377" t="str">
        <f>Warranty!A63</f>
        <v>12-00400-029</v>
      </c>
      <c r="B140" s="375" t="str">
        <f>Warranty!C63</f>
        <v>Warranty Extension on purchase for IP232 (black)</v>
      </c>
      <c r="C140" s="379">
        <f>Warranty!E63</f>
        <v>9</v>
      </c>
      <c r="D140" s="375">
        <f>Warranty!F63</f>
        <v>0</v>
      </c>
      <c r="E140" s="379">
        <f>Warranty!G63</f>
        <v>0</v>
      </c>
    </row>
    <row r="141" spans="1:5" x14ac:dyDescent="0.25">
      <c r="A141" s="377" t="str">
        <f>Warranty!A64</f>
        <v>12-00400-045</v>
      </c>
      <c r="B141" s="375" t="str">
        <f>Warranty!C64</f>
        <v>Warranty Extension on purchase for IP232 (white)</v>
      </c>
      <c r="C141" s="379">
        <f>Warranty!E64</f>
        <v>11</v>
      </c>
      <c r="D141" s="375">
        <f>Warranty!F64</f>
        <v>0</v>
      </c>
      <c r="E141" s="379">
        <f>Warranty!G64</f>
        <v>0</v>
      </c>
    </row>
    <row r="142" spans="1:5" x14ac:dyDescent="0.25">
      <c r="A142" s="377" t="str">
        <f>Warranty!A65</f>
        <v>12-00400-049</v>
      </c>
      <c r="B142" s="375" t="str">
        <f>Warranty!C65</f>
        <v>Warranty Extension on purchase for IP2X2-2 (black)</v>
      </c>
      <c r="C142" s="379">
        <f>Warranty!E65</f>
        <v>7</v>
      </c>
      <c r="D142" s="375">
        <f>Warranty!F65</f>
        <v>0</v>
      </c>
      <c r="E142" s="379">
        <f>Warranty!G65</f>
        <v>0</v>
      </c>
    </row>
    <row r="143" spans="1:5" x14ac:dyDescent="0.25">
      <c r="A143" s="377" t="str">
        <f>Warranty!A66</f>
        <v>12-00400-050</v>
      </c>
      <c r="B143" s="375" t="str">
        <f>Warranty!C66</f>
        <v>Warranty Extension on purchase for IP2X2-2 (white)</v>
      </c>
      <c r="C143" s="379">
        <f>Warranty!E66</f>
        <v>8</v>
      </c>
      <c r="D143" s="375">
        <f>Warranty!F66</f>
        <v>0</v>
      </c>
      <c r="E143" s="379">
        <f>Warranty!G66</f>
        <v>0</v>
      </c>
    </row>
    <row r="144" spans="1:5" x14ac:dyDescent="0.25">
      <c r="A144" s="377" t="str">
        <f>Warranty!A67</f>
        <v>12-00400-024</v>
      </c>
      <c r="B144" s="375" t="str">
        <f>Warranty!C67</f>
        <v>Warranty Extension on purchase for IP240</v>
      </c>
      <c r="C144" s="379">
        <f>Warranty!E67</f>
        <v>11</v>
      </c>
      <c r="D144" s="375">
        <f>Warranty!F67</f>
        <v>0</v>
      </c>
      <c r="E144" s="379">
        <f>Warranty!G67</f>
        <v>0</v>
      </c>
    </row>
    <row r="145" spans="1:5" x14ac:dyDescent="0.25">
      <c r="A145" s="377" t="str">
        <f>Warranty!A68</f>
        <v>12-00400-027</v>
      </c>
      <c r="B145" s="375" t="str">
        <f>Warranty!C68</f>
        <v>Warranty Extension on purchase for IP241</v>
      </c>
      <c r="C145" s="379">
        <f>Warranty!E68</f>
        <v>8</v>
      </c>
      <c r="D145" s="375">
        <f>Warranty!F68</f>
        <v>0</v>
      </c>
      <c r="E145" s="379">
        <f>Warranty!G68</f>
        <v>0</v>
      </c>
    </row>
    <row r="146" spans="1:5" x14ac:dyDescent="0.25">
      <c r="A146" s="377" t="str">
        <f>Warranty!A69</f>
        <v>12-00400-014</v>
      </c>
      <c r="B146" s="375" t="str">
        <f>Warranty!C69</f>
        <v>Warranty Extension on purchase for IP230-MOD</v>
      </c>
      <c r="C146" s="379">
        <f>Warranty!E69</f>
        <v>5.5</v>
      </c>
      <c r="D146" s="375">
        <f>Warranty!F69</f>
        <v>0</v>
      </c>
      <c r="E146" s="379">
        <f>Warranty!G69</f>
        <v>0</v>
      </c>
    </row>
    <row r="147" spans="1:5" x14ac:dyDescent="0.25">
      <c r="A147" s="377" t="str">
        <f>Warranty!A70</f>
        <v>12-00400-015</v>
      </c>
      <c r="B147" s="375" t="str">
        <f>Warranty!C70</f>
        <v>Warranty Extension on purchase for IP150</v>
      </c>
      <c r="C147" s="379">
        <f>Warranty!E70</f>
        <v>27</v>
      </c>
      <c r="D147" s="375">
        <f>Warranty!F70</f>
        <v>0</v>
      </c>
      <c r="E147" s="379">
        <f>Warranty!G70</f>
        <v>0</v>
      </c>
    </row>
    <row r="148" spans="1:5" x14ac:dyDescent="0.25">
      <c r="A148" s="377" t="str">
        <f>Warranty!A71</f>
        <v>12-00400-034</v>
      </c>
      <c r="B148" s="375" t="str">
        <f>Warranty!C71</f>
        <v>Warranty Extension on purchase for IP64</v>
      </c>
      <c r="C148" s="379">
        <f>Warranty!E71</f>
        <v>3.5</v>
      </c>
      <c r="D148" s="375">
        <f>Warranty!F71</f>
        <v>0</v>
      </c>
      <c r="E148" s="379">
        <f>Warranty!G71</f>
        <v>0</v>
      </c>
    </row>
    <row r="149" spans="1:5" x14ac:dyDescent="0.25">
      <c r="A149" s="377" t="str">
        <f>Warranty!A72</f>
        <v>12-00400-035</v>
      </c>
      <c r="B149" s="375" t="str">
        <f>Warranty!C72</f>
        <v>Warranty Extension on purchase for IP63</v>
      </c>
      <c r="C149" s="379">
        <f>Warranty!E72</f>
        <v>9</v>
      </c>
      <c r="D149" s="375">
        <f>Warranty!F72</f>
        <v>0</v>
      </c>
      <c r="E149" s="379">
        <f>Warranty!G72</f>
        <v>0</v>
      </c>
    </row>
    <row r="150" spans="1:5" x14ac:dyDescent="0.25">
      <c r="A150" s="377" t="str">
        <f>Warranty!A73</f>
        <v>12-00400-036</v>
      </c>
      <c r="B150" s="375" t="str">
        <f>Warranty!C73</f>
        <v>Warranty Extension on purchase for IP62</v>
      </c>
      <c r="C150" s="379">
        <f>Warranty!E73</f>
        <v>12</v>
      </c>
      <c r="D150" s="375">
        <f>Warranty!F73</f>
        <v>0</v>
      </c>
      <c r="E150" s="379">
        <f>Warranty!G73</f>
        <v>0</v>
      </c>
    </row>
    <row r="151" spans="1:5" x14ac:dyDescent="0.25">
      <c r="A151" s="377" t="str">
        <f>Warranty!A74</f>
        <v>12-00400-040</v>
      </c>
      <c r="B151" s="375" t="str">
        <f>Warranty!C74</f>
        <v>Warranty Extension on purchase for IP81</v>
      </c>
      <c r="C151" s="379">
        <f>Warranty!E74</f>
        <v>17.5</v>
      </c>
      <c r="D151" s="375">
        <f>Warranty!F74</f>
        <v>0</v>
      </c>
      <c r="E151" s="379">
        <f>Warranty!G74</f>
        <v>0</v>
      </c>
    </row>
    <row r="152" spans="1:5" x14ac:dyDescent="0.25">
      <c r="A152" s="377" t="str">
        <f>Warranty!A75</f>
        <v>12-00400-041</v>
      </c>
      <c r="B152" s="375" t="str">
        <f>Warranty!C75</f>
        <v>Warranty Extension on purchase for IP81ex</v>
      </c>
      <c r="C152" s="379">
        <f>Warranty!E75</f>
        <v>32.5</v>
      </c>
      <c r="D152" s="375">
        <f>Warranty!F75</f>
        <v>0</v>
      </c>
      <c r="E152" s="379">
        <f>Warranty!G75</f>
        <v>0</v>
      </c>
    </row>
    <row r="153" spans="1:5" x14ac:dyDescent="0.25">
      <c r="A153" s="377" t="str">
        <f>Warranty!A76</f>
        <v>12-00400-038</v>
      </c>
      <c r="B153" s="375" t="str">
        <f>Warranty!C76</f>
        <v>Warranty Extension on purchase for IP1202</v>
      </c>
      <c r="C153" s="379">
        <f>Warranty!E76</f>
        <v>31</v>
      </c>
      <c r="D153" s="375">
        <f>Warranty!F76</f>
        <v>0</v>
      </c>
      <c r="E153" s="379">
        <f>Warranty!G76</f>
        <v>0</v>
      </c>
    </row>
    <row r="154" spans="1:5" x14ac:dyDescent="0.25">
      <c r="A154" s="377" t="str">
        <f>Warranty!A77</f>
        <v>12-00400-042</v>
      </c>
      <c r="B154" s="375" t="str">
        <f>Warranty!C77</f>
        <v>Warranty Extension on purchase for IP1202e</v>
      </c>
      <c r="C154" s="379">
        <f>Warranty!E77</f>
        <v>35.5</v>
      </c>
      <c r="D154" s="375">
        <f>Warranty!F77</f>
        <v>0</v>
      </c>
      <c r="E154" s="379">
        <f>Warranty!G77</f>
        <v>0</v>
      </c>
    </row>
    <row r="155" spans="1:5" x14ac:dyDescent="0.25">
      <c r="A155" s="377" t="str">
        <f>Warranty!A78</f>
        <v>12-00400-051</v>
      </c>
      <c r="B155" s="375" t="str">
        <f>Warranty!C78</f>
        <v>Warranty Extension on purchase for IP1202/4</v>
      </c>
      <c r="C155" s="379">
        <f>Warranty!E78</f>
        <v>16.5</v>
      </c>
      <c r="D155" s="375">
        <f>Warranty!F78</f>
        <v>0</v>
      </c>
      <c r="E155" s="379">
        <f>Warranty!G78</f>
        <v>0</v>
      </c>
    </row>
    <row r="156" spans="1:5" ht="6" customHeight="1" x14ac:dyDescent="0.25">
      <c r="A156" s="378"/>
      <c r="B156" s="376"/>
      <c r="C156" s="376"/>
      <c r="D156" s="376"/>
      <c r="E156" s="376"/>
    </row>
    <row r="157" spans="1:5" x14ac:dyDescent="0.25">
      <c r="A157" s="377" t="str">
        <f>Warranty!A80</f>
        <v>12-00500-002</v>
      </c>
      <c r="B157" s="375" t="str">
        <f>Warranty!C80</f>
        <v>Warranty Extension after purchase for IP22</v>
      </c>
      <c r="C157" s="379">
        <f>Warranty!E80</f>
        <v>17</v>
      </c>
      <c r="D157" s="375">
        <f>Warranty!F80</f>
        <v>0</v>
      </c>
      <c r="E157" s="379">
        <f>Warranty!G80</f>
        <v>0</v>
      </c>
    </row>
    <row r="158" spans="1:5" x14ac:dyDescent="0.25">
      <c r="A158" s="377" t="str">
        <f>Warranty!A81</f>
        <v>12-00500-062</v>
      </c>
      <c r="B158" s="375" t="str">
        <f>Warranty!C81</f>
        <v>Warranty Extension after purchase for IP29-4</v>
      </c>
      <c r="C158" s="379">
        <f>Warranty!E81</f>
        <v>25</v>
      </c>
      <c r="D158" s="375">
        <f>Warranty!F81</f>
        <v>0</v>
      </c>
      <c r="E158" s="379">
        <f>Warranty!G81</f>
        <v>0</v>
      </c>
    </row>
    <row r="159" spans="1:5" x14ac:dyDescent="0.25">
      <c r="A159" s="377" t="str">
        <f>Warranty!A82</f>
        <v>12-00500-058</v>
      </c>
      <c r="B159" s="375" t="str">
        <f>Warranty!C82</f>
        <v>Warranty Extension after purchase for IP29</v>
      </c>
      <c r="C159" s="379">
        <f>Warranty!E82</f>
        <v>27</v>
      </c>
      <c r="D159" s="375">
        <f>Warranty!F82</f>
        <v>0</v>
      </c>
      <c r="E159" s="379">
        <f>Warranty!G82</f>
        <v>0</v>
      </c>
    </row>
    <row r="160" spans="1:5" x14ac:dyDescent="0.25">
      <c r="A160" s="377" t="str">
        <f>Warranty!A83</f>
        <v>12-00500-052</v>
      </c>
      <c r="B160" s="375" t="str">
        <f>Warranty!C83</f>
        <v>Warranty Extension after purchase for IP311</v>
      </c>
      <c r="C160" s="379">
        <f>Warranty!E83</f>
        <v>22.5</v>
      </c>
      <c r="D160" s="375">
        <f>Warranty!F83</f>
        <v>0</v>
      </c>
      <c r="E160" s="379">
        <f>Warranty!G83</f>
        <v>0</v>
      </c>
    </row>
    <row r="161" spans="1:5" x14ac:dyDescent="0.25">
      <c r="A161" s="377" t="str">
        <f>Warranty!A84</f>
        <v>12-00500-054</v>
      </c>
      <c r="B161" s="375" t="str">
        <f>Warranty!C84</f>
        <v>Warranty Extension after purchase for IP411</v>
      </c>
      <c r="C161" s="379">
        <f>Warranty!E84</f>
        <v>22.5</v>
      </c>
      <c r="D161" s="375">
        <f>Warranty!F84</f>
        <v>0</v>
      </c>
      <c r="E161" s="379">
        <f>Warranty!G84</f>
        <v>0</v>
      </c>
    </row>
    <row r="162" spans="1:5" x14ac:dyDescent="0.25">
      <c r="A162" s="377" t="str">
        <f>Warranty!A85</f>
        <v>12-00500-055</v>
      </c>
      <c r="B162" s="375" t="str">
        <f>Warranty!C85</f>
        <v>Warranty Extension after purchase for IP811</v>
      </c>
      <c r="C162" s="379">
        <f>Warranty!E85</f>
        <v>37.5</v>
      </c>
      <c r="D162" s="375">
        <f>Warranty!F85</f>
        <v>0</v>
      </c>
      <c r="E162" s="379">
        <f>Warranty!G85</f>
        <v>0</v>
      </c>
    </row>
    <row r="163" spans="1:5" x14ac:dyDescent="0.25">
      <c r="A163" s="377" t="str">
        <f>Warranty!A86</f>
        <v>12-00500-059</v>
      </c>
      <c r="B163" s="375" t="str">
        <f>Warranty!C86</f>
        <v>Warranty Extension after purchase for IP0011</v>
      </c>
      <c r="C163" s="379">
        <f>Warranty!E86</f>
        <v>24.5</v>
      </c>
      <c r="D163" s="375">
        <f>Warranty!F86</f>
        <v>0</v>
      </c>
      <c r="E163" s="379">
        <f>Warranty!G86</f>
        <v>0</v>
      </c>
    </row>
    <row r="164" spans="1:5" x14ac:dyDescent="0.25">
      <c r="A164" s="377" t="str">
        <f>Warranty!A87</f>
        <v>12-00500-057</v>
      </c>
      <c r="B164" s="375" t="str">
        <f>Warranty!C87</f>
        <v>Warranty Extension after purchase for IP3011</v>
      </c>
      <c r="C164" s="379">
        <f>Warranty!E87</f>
        <v>87.5</v>
      </c>
      <c r="D164" s="375">
        <f>Warranty!F87</f>
        <v>0</v>
      </c>
      <c r="E164" s="379">
        <f>Warranty!G87</f>
        <v>0</v>
      </c>
    </row>
    <row r="165" spans="1:5" x14ac:dyDescent="0.25">
      <c r="A165" s="377" t="str">
        <f>Warranty!A88</f>
        <v>12-00500-056</v>
      </c>
      <c r="B165" s="375" t="str">
        <f>Warranty!C88</f>
        <v>Warranty Extension after purchase for IP1130</v>
      </c>
      <c r="C165" s="379">
        <f>Warranty!E88</f>
        <v>70</v>
      </c>
      <c r="D165" s="375">
        <f>Warranty!F88</f>
        <v>0</v>
      </c>
      <c r="E165" s="379">
        <f>Warranty!G88</f>
        <v>0</v>
      </c>
    </row>
    <row r="166" spans="1:5" x14ac:dyDescent="0.25">
      <c r="A166" s="377" t="str">
        <f>Warranty!A89</f>
        <v>12-00500-033</v>
      </c>
      <c r="B166" s="375" t="str">
        <f>Warranty!C89</f>
        <v>Warranty Extension after purchase for IP6010</v>
      </c>
      <c r="C166" s="379">
        <f>Warranty!E89</f>
        <v>409</v>
      </c>
      <c r="D166" s="375">
        <f>Warranty!F89</f>
        <v>0</v>
      </c>
      <c r="E166" s="379">
        <f>Warranty!G89</f>
        <v>0</v>
      </c>
    </row>
    <row r="167" spans="1:5" x14ac:dyDescent="0.25">
      <c r="A167" s="377" t="str">
        <f>Warranty!A90</f>
        <v>12-00500-046</v>
      </c>
      <c r="B167" s="375" t="str">
        <f>Warranty!C90</f>
        <v>Warranty Extension after purchase for IP38</v>
      </c>
      <c r="C167" s="379">
        <f>Warranty!E90</f>
        <v>27</v>
      </c>
      <c r="D167" s="375">
        <f>Warranty!F90</f>
        <v>0</v>
      </c>
      <c r="E167" s="379">
        <f>Warranty!G90</f>
        <v>0</v>
      </c>
    </row>
    <row r="168" spans="1:5" x14ac:dyDescent="0.25">
      <c r="A168" s="377" t="str">
        <f>Warranty!A91</f>
        <v>12-00500-048</v>
      </c>
      <c r="B168" s="375" t="str">
        <f>Warranty!C91</f>
        <v>Warranty Extension after purchase for IP111</v>
      </c>
      <c r="C168" s="379">
        <f>Warranty!E91</f>
        <v>8.25</v>
      </c>
      <c r="D168" s="375">
        <f>Warranty!F91</f>
        <v>0</v>
      </c>
      <c r="E168" s="379">
        <f>Warranty!G91</f>
        <v>0</v>
      </c>
    </row>
    <row r="169" spans="1:5" x14ac:dyDescent="0.25">
      <c r="A169" s="377" t="str">
        <f>Warranty!A92</f>
        <v>12-00500-053</v>
      </c>
      <c r="B169" s="375" t="str">
        <f>Warranty!C92</f>
        <v>Warranty Extension after purchase for IP112</v>
      </c>
      <c r="C169" s="379">
        <f>Warranty!E92</f>
        <v>9</v>
      </c>
      <c r="D169" s="375">
        <f>Warranty!F92</f>
        <v>0</v>
      </c>
      <c r="E169" s="379">
        <f>Warranty!G92</f>
        <v>0</v>
      </c>
    </row>
    <row r="170" spans="1:5" x14ac:dyDescent="0.25">
      <c r="A170" s="377" t="str">
        <f>Warranty!A93</f>
        <v>12-00500-028</v>
      </c>
      <c r="B170" s="375" t="str">
        <f>Warranty!C93</f>
        <v>Warranty Extension after purchase for IP222 (black)</v>
      </c>
      <c r="C170" s="379">
        <f>Warranty!E93</f>
        <v>10</v>
      </c>
      <c r="D170" s="375">
        <f>Warranty!F93</f>
        <v>0</v>
      </c>
      <c r="E170" s="379">
        <f>Warranty!G93</f>
        <v>0</v>
      </c>
    </row>
    <row r="171" spans="1:5" x14ac:dyDescent="0.25">
      <c r="A171" s="377" t="str">
        <f>Warranty!A94</f>
        <v>12-00500-044</v>
      </c>
      <c r="B171" s="375" t="str">
        <f>Warranty!C94</f>
        <v>Warranty Extension after purchase for IP222 (white)</v>
      </c>
      <c r="C171" s="379">
        <f>Warranty!E94</f>
        <v>12</v>
      </c>
      <c r="D171" s="375">
        <f>Warranty!F94</f>
        <v>0</v>
      </c>
      <c r="E171" s="379">
        <f>Warranty!G94</f>
        <v>0</v>
      </c>
    </row>
    <row r="172" spans="1:5" x14ac:dyDescent="0.25">
      <c r="A172" s="377" t="str">
        <f>Warranty!A95</f>
        <v>12-00500-029</v>
      </c>
      <c r="B172" s="375" t="str">
        <f>Warranty!C95</f>
        <v>Warranty Extension after purchase for IP232 (black)</v>
      </c>
      <c r="C172" s="379">
        <f>Warranty!E95</f>
        <v>12</v>
      </c>
      <c r="D172" s="375">
        <f>Warranty!F95</f>
        <v>0</v>
      </c>
      <c r="E172" s="379">
        <f>Warranty!G95</f>
        <v>0</v>
      </c>
    </row>
    <row r="173" spans="1:5" x14ac:dyDescent="0.25">
      <c r="A173" s="377" t="str">
        <f>Warranty!A96</f>
        <v>12-00500-045</v>
      </c>
      <c r="B173" s="375" t="str">
        <f>Warranty!C96</f>
        <v>Warranty Extension after purchase for IP232 (white)</v>
      </c>
      <c r="C173" s="379">
        <f>Warranty!E96</f>
        <v>15</v>
      </c>
      <c r="D173" s="375">
        <f>Warranty!F96</f>
        <v>0</v>
      </c>
      <c r="E173" s="379">
        <f>Warranty!G96</f>
        <v>0</v>
      </c>
    </row>
    <row r="174" spans="1:5" x14ac:dyDescent="0.25">
      <c r="A174" s="377" t="str">
        <f>Warranty!A97</f>
        <v>12-00500-049</v>
      </c>
      <c r="B174" s="375" t="str">
        <f>Warranty!C97</f>
        <v>Warranty Extension after purchase for IP2X2-2 (black)</v>
      </c>
      <c r="C174" s="379">
        <f>Warranty!E97</f>
        <v>10</v>
      </c>
      <c r="D174" s="375">
        <f>Warranty!F97</f>
        <v>0</v>
      </c>
      <c r="E174" s="379">
        <f>Warranty!G97</f>
        <v>0</v>
      </c>
    </row>
    <row r="175" spans="1:5" x14ac:dyDescent="0.25">
      <c r="A175" s="377" t="str">
        <f>Warranty!A98</f>
        <v>12-00500-050</v>
      </c>
      <c r="B175" s="375" t="str">
        <f>Warranty!C98</f>
        <v>Warranty Extension after purchase for IP2X2-2 (white)</v>
      </c>
      <c r="C175" s="379">
        <f>Warranty!E98</f>
        <v>11</v>
      </c>
      <c r="D175" s="375">
        <f>Warranty!F98</f>
        <v>0</v>
      </c>
      <c r="E175" s="379">
        <f>Warranty!G98</f>
        <v>0</v>
      </c>
    </row>
    <row r="176" spans="1:5" x14ac:dyDescent="0.25">
      <c r="A176" s="377" t="str">
        <f>Warranty!A99</f>
        <v>12-00500-024</v>
      </c>
      <c r="B176" s="375" t="str">
        <f>Warranty!C99</f>
        <v>Warranty Extension after purchase for IP240</v>
      </c>
      <c r="C176" s="379">
        <f>Warranty!E99</f>
        <v>15</v>
      </c>
      <c r="D176" s="375">
        <f>Warranty!F99</f>
        <v>0</v>
      </c>
      <c r="E176" s="379">
        <f>Warranty!G99</f>
        <v>0</v>
      </c>
    </row>
    <row r="177" spans="1:5" x14ac:dyDescent="0.25">
      <c r="A177" s="377" t="str">
        <f>Warranty!A100</f>
        <v>12-00500-027</v>
      </c>
      <c r="B177" s="375" t="str">
        <f>Warranty!C100</f>
        <v>Warranty Extension after purchase for IP241</v>
      </c>
      <c r="C177" s="379">
        <f>Warranty!E100</f>
        <v>12</v>
      </c>
      <c r="D177" s="375">
        <f>Warranty!F100</f>
        <v>0</v>
      </c>
      <c r="E177" s="379">
        <f>Warranty!G100</f>
        <v>0</v>
      </c>
    </row>
    <row r="178" spans="1:5" x14ac:dyDescent="0.25">
      <c r="A178" s="377" t="str">
        <f>Warranty!A101</f>
        <v>12-00500-014</v>
      </c>
      <c r="B178" s="375" t="str">
        <f>Warranty!C101</f>
        <v>Warranty Extension after purchase for IP230-MOD</v>
      </c>
      <c r="C178" s="379">
        <f>Warranty!E101</f>
        <v>7.9</v>
      </c>
      <c r="D178" s="375">
        <f>Warranty!F101</f>
        <v>0</v>
      </c>
      <c r="E178" s="379">
        <f>Warranty!G101</f>
        <v>0</v>
      </c>
    </row>
    <row r="179" spans="1:5" x14ac:dyDescent="0.25">
      <c r="A179" s="377" t="str">
        <f>Warranty!A102</f>
        <v>12-00500-015</v>
      </c>
      <c r="B179" s="375" t="str">
        <f>Warranty!C102</f>
        <v>Warranty Extension after purchase for IP150</v>
      </c>
      <c r="C179" s="379">
        <f>Warranty!E102</f>
        <v>39</v>
      </c>
      <c r="D179" s="375">
        <f>Warranty!F102</f>
        <v>0</v>
      </c>
      <c r="E179" s="379">
        <f>Warranty!G102</f>
        <v>0</v>
      </c>
    </row>
    <row r="180" spans="1:5" x14ac:dyDescent="0.25">
      <c r="A180" s="377" t="str">
        <f>Warranty!A103</f>
        <v>12-00500-034</v>
      </c>
      <c r="B180" s="375" t="str">
        <f>Warranty!C103</f>
        <v>Warranty Extension after purchase for IP64</v>
      </c>
      <c r="C180" s="379">
        <f>Warranty!E103</f>
        <v>5</v>
      </c>
      <c r="D180" s="375">
        <f>Warranty!F103</f>
        <v>0</v>
      </c>
      <c r="E180" s="379">
        <f>Warranty!G103</f>
        <v>0</v>
      </c>
    </row>
    <row r="181" spans="1:5" x14ac:dyDescent="0.25">
      <c r="A181" s="377" t="str">
        <f>Warranty!A104</f>
        <v>12-00500-035</v>
      </c>
      <c r="B181" s="375" t="str">
        <f>Warranty!C104</f>
        <v>Warranty Extension after purchase for IP63</v>
      </c>
      <c r="C181" s="379">
        <f>Warranty!E104</f>
        <v>13</v>
      </c>
      <c r="D181" s="375">
        <f>Warranty!F104</f>
        <v>0</v>
      </c>
      <c r="E181" s="379">
        <f>Warranty!G104</f>
        <v>0</v>
      </c>
    </row>
    <row r="182" spans="1:5" x14ac:dyDescent="0.25">
      <c r="A182" s="377" t="str">
        <f>Warranty!A105</f>
        <v>12-00500-036</v>
      </c>
      <c r="B182" s="375" t="str">
        <f>Warranty!C105</f>
        <v>Warranty Extension after purchase for IP62</v>
      </c>
      <c r="C182" s="379">
        <f>Warranty!E105</f>
        <v>17</v>
      </c>
      <c r="D182" s="375">
        <f>Warranty!F105</f>
        <v>0</v>
      </c>
      <c r="E182" s="379">
        <f>Warranty!G105</f>
        <v>0</v>
      </c>
    </row>
    <row r="183" spans="1:5" x14ac:dyDescent="0.25">
      <c r="A183" s="377" t="str">
        <f>Warranty!A106</f>
        <v>12-00500-040</v>
      </c>
      <c r="B183" s="375" t="str">
        <f>Warranty!C106</f>
        <v>Warranty Extension after purchase for IP81</v>
      </c>
      <c r="C183" s="379">
        <f>Warranty!E106</f>
        <v>25</v>
      </c>
      <c r="D183" s="375">
        <f>Warranty!F106</f>
        <v>0</v>
      </c>
      <c r="E183" s="379">
        <f>Warranty!G106</f>
        <v>0</v>
      </c>
    </row>
    <row r="184" spans="1:5" x14ac:dyDescent="0.25">
      <c r="A184" s="377" t="str">
        <f>Warranty!A107</f>
        <v>12-00500-041</v>
      </c>
      <c r="B184" s="375" t="str">
        <f>Warranty!C107</f>
        <v>Warranty Extension after purchase for IP81ex</v>
      </c>
      <c r="C184" s="379">
        <f>Warranty!E107</f>
        <v>46.5</v>
      </c>
      <c r="D184" s="375">
        <f>Warranty!F107</f>
        <v>0</v>
      </c>
      <c r="E184" s="379">
        <f>Warranty!G107</f>
        <v>0</v>
      </c>
    </row>
    <row r="185" spans="1:5" x14ac:dyDescent="0.25">
      <c r="A185" s="377" t="str">
        <f>Warranty!A108</f>
        <v>12-00500-038</v>
      </c>
      <c r="B185" s="375" t="str">
        <f>Warranty!C108</f>
        <v>Warranty Extension after purchase for IP1202</v>
      </c>
      <c r="C185" s="379">
        <f>Warranty!E108</f>
        <v>44</v>
      </c>
      <c r="D185" s="375">
        <f>Warranty!F108</f>
        <v>0</v>
      </c>
      <c r="E185" s="379">
        <f>Warranty!G108</f>
        <v>0</v>
      </c>
    </row>
    <row r="186" spans="1:5" x14ac:dyDescent="0.25">
      <c r="A186" s="377" t="str">
        <f>Warranty!A109</f>
        <v>12-00500-042</v>
      </c>
      <c r="B186" s="375" t="str">
        <f>Warranty!C109</f>
        <v>Warranty Extension after purchase for IP1202e</v>
      </c>
      <c r="C186" s="379">
        <f>Warranty!E109</f>
        <v>50.5</v>
      </c>
      <c r="D186" s="375">
        <f>Warranty!F109</f>
        <v>0</v>
      </c>
      <c r="E186" s="379">
        <f>Warranty!G109</f>
        <v>0</v>
      </c>
    </row>
    <row r="187" spans="1:5" x14ac:dyDescent="0.25">
      <c r="A187" s="377" t="str">
        <f>Warranty!A110</f>
        <v>12-00500-051</v>
      </c>
      <c r="B187" s="375" t="str">
        <f>Warranty!C110</f>
        <v>Warranty Extension after purchase for IP1202/4</v>
      </c>
      <c r="C187" s="379">
        <f>Warranty!E110</f>
        <v>23.5</v>
      </c>
      <c r="D187" s="375">
        <f>Warranty!F110</f>
        <v>0</v>
      </c>
      <c r="E187" s="379">
        <f>Warranty!G110</f>
        <v>0</v>
      </c>
    </row>
    <row r="188" spans="1:5" ht="6" customHeight="1" x14ac:dyDescent="0.25">
      <c r="A188" s="378"/>
      <c r="B188" s="376"/>
      <c r="C188" s="376"/>
      <c r="D188" s="376"/>
      <c r="E188" s="376"/>
    </row>
    <row r="189" spans="1:5" x14ac:dyDescent="0.25">
      <c r="A189" s="377" t="str">
        <f>'HW Maintenance'!A33</f>
        <v>12-00300-014</v>
      </c>
      <c r="B189" s="375" t="str">
        <f>'HW Maintenance'!B33</f>
        <v>Silber Support IP22</v>
      </c>
      <c r="C189" s="379">
        <f>'HW Maintenance'!C33</f>
        <v>69</v>
      </c>
      <c r="D189" s="375">
        <f>'HW Maintenance'!D33</f>
        <v>0</v>
      </c>
      <c r="E189" s="379">
        <f>'HW Maintenance'!E33</f>
        <v>0</v>
      </c>
    </row>
    <row r="190" spans="1:5" x14ac:dyDescent="0.25">
      <c r="A190" s="377" t="str">
        <f>'HW Maintenance'!A34</f>
        <v>12-00300-131</v>
      </c>
      <c r="B190" s="375" t="str">
        <f>'HW Maintenance'!B34</f>
        <v>Silber Support IP29-4</v>
      </c>
      <c r="C190" s="379">
        <f>'HW Maintenance'!C34</f>
        <v>87</v>
      </c>
      <c r="D190" s="375">
        <f>'HW Maintenance'!D34</f>
        <v>0</v>
      </c>
      <c r="E190" s="379">
        <f>'HW Maintenance'!E34</f>
        <v>0</v>
      </c>
    </row>
    <row r="191" spans="1:5" x14ac:dyDescent="0.25">
      <c r="A191" s="377" t="str">
        <f>'HW Maintenance'!A35</f>
        <v>12-00300-128</v>
      </c>
      <c r="B191" s="375" t="str">
        <f>'HW Maintenance'!B35</f>
        <v>Silber Support IP29</v>
      </c>
      <c r="C191" s="379">
        <f>'HW Maintenance'!C35</f>
        <v>107</v>
      </c>
      <c r="D191" s="375">
        <f>'HW Maintenance'!D35</f>
        <v>0</v>
      </c>
      <c r="E191" s="379">
        <f>'HW Maintenance'!E35</f>
        <v>0</v>
      </c>
    </row>
    <row r="192" spans="1:5" x14ac:dyDescent="0.25">
      <c r="A192" s="377" t="str">
        <f>'HW Maintenance'!A36</f>
        <v>12-00300-110</v>
      </c>
      <c r="B192" s="375" t="str">
        <f>'HW Maintenance'!B36</f>
        <v>Silber Support IP311</v>
      </c>
      <c r="C192" s="379">
        <f>'HW Maintenance'!C36</f>
        <v>90</v>
      </c>
      <c r="D192" s="375">
        <f>'HW Maintenance'!D36</f>
        <v>0</v>
      </c>
      <c r="E192" s="379">
        <f>'HW Maintenance'!E36</f>
        <v>0</v>
      </c>
    </row>
    <row r="193" spans="1:5" x14ac:dyDescent="0.25">
      <c r="A193" s="377" t="str">
        <f>'HW Maintenance'!A37</f>
        <v>12-00300-113</v>
      </c>
      <c r="B193" s="375" t="str">
        <f>'HW Maintenance'!B37</f>
        <v>Silber Support IP411</v>
      </c>
      <c r="C193" s="379">
        <f>'HW Maintenance'!C37</f>
        <v>90</v>
      </c>
      <c r="D193" s="375">
        <f>'HW Maintenance'!D37</f>
        <v>0</v>
      </c>
      <c r="E193" s="379">
        <f>'HW Maintenance'!E37</f>
        <v>0</v>
      </c>
    </row>
    <row r="194" spans="1:5" x14ac:dyDescent="0.25">
      <c r="A194" s="377" t="str">
        <f>'HW Maintenance'!A38</f>
        <v>12-00300-116</v>
      </c>
      <c r="B194" s="375" t="str">
        <f>'HW Maintenance'!B38</f>
        <v>Silber Support IP811</v>
      </c>
      <c r="C194" s="379">
        <f>'HW Maintenance'!C38</f>
        <v>150</v>
      </c>
      <c r="D194" s="375">
        <f>'HW Maintenance'!D38</f>
        <v>0</v>
      </c>
      <c r="E194" s="379">
        <f>'HW Maintenance'!E38</f>
        <v>0</v>
      </c>
    </row>
    <row r="195" spans="1:5" x14ac:dyDescent="0.25">
      <c r="A195" s="377" t="str">
        <f>'HW Maintenance'!A39</f>
        <v>12-00300-125</v>
      </c>
      <c r="B195" s="375" t="str">
        <f>'HW Maintenance'!B39</f>
        <v>Silber Support IP0011</v>
      </c>
      <c r="C195" s="379">
        <f>'HW Maintenance'!C39</f>
        <v>98</v>
      </c>
      <c r="D195" s="375">
        <f>'HW Maintenance'!D39</f>
        <v>0</v>
      </c>
      <c r="E195" s="379">
        <f>'HW Maintenance'!E39</f>
        <v>0</v>
      </c>
    </row>
    <row r="196" spans="1:5" x14ac:dyDescent="0.25">
      <c r="A196" s="377" t="str">
        <f>'HW Maintenance'!A40</f>
        <v>12-00300-122</v>
      </c>
      <c r="B196" s="375" t="str">
        <f>'HW Maintenance'!B40</f>
        <v>Silber Support IP3011</v>
      </c>
      <c r="C196" s="379">
        <f>'HW Maintenance'!C40</f>
        <v>352</v>
      </c>
      <c r="D196" s="375">
        <f>'HW Maintenance'!D40</f>
        <v>0</v>
      </c>
      <c r="E196" s="379">
        <f>'HW Maintenance'!E40</f>
        <v>0</v>
      </c>
    </row>
    <row r="197" spans="1:5" x14ac:dyDescent="0.25">
      <c r="A197" s="377" t="str">
        <f>'HW Maintenance'!A41</f>
        <v>12-00300-119</v>
      </c>
      <c r="B197" s="375" t="str">
        <f>'HW Maintenance'!B41</f>
        <v>Silber Support IP1130</v>
      </c>
      <c r="C197" s="379">
        <f>'HW Maintenance'!C41</f>
        <v>280</v>
      </c>
      <c r="D197" s="375">
        <f>'HW Maintenance'!D41</f>
        <v>0</v>
      </c>
      <c r="E197" s="379">
        <f>'HW Maintenance'!E41</f>
        <v>0</v>
      </c>
    </row>
    <row r="198" spans="1:5" x14ac:dyDescent="0.25">
      <c r="A198" s="377" t="str">
        <f>'HW Maintenance'!A42</f>
        <v>12-00300-092</v>
      </c>
      <c r="B198" s="375" t="str">
        <f>'HW Maintenance'!B42</f>
        <v>Silber Support IP6010</v>
      </c>
      <c r="C198" s="379">
        <f>'HW Maintenance'!C42</f>
        <v>960</v>
      </c>
      <c r="D198" s="375">
        <f>'HW Maintenance'!D42</f>
        <v>0</v>
      </c>
      <c r="E198" s="379">
        <f>'HW Maintenance'!E42</f>
        <v>0</v>
      </c>
    </row>
    <row r="199" spans="1:5" x14ac:dyDescent="0.25">
      <c r="A199" s="377" t="str">
        <f>'HW Maintenance'!A43</f>
        <v>12-00300-108</v>
      </c>
      <c r="B199" s="375" t="str">
        <f>'HW Maintenance'!B43</f>
        <v>Silber Support IP38</v>
      </c>
      <c r="C199" s="379">
        <f>'HW Maintenance'!C43</f>
        <v>107</v>
      </c>
      <c r="D199" s="375">
        <f>'HW Maintenance'!D43</f>
        <v>0</v>
      </c>
      <c r="E199" s="379">
        <f>'HW Maintenance'!E43</f>
        <v>0</v>
      </c>
    </row>
    <row r="200" spans="1:5" x14ac:dyDescent="0.25">
      <c r="A200" s="377" t="str">
        <f>'HW Maintenance'!A44</f>
        <v>12-00300-036</v>
      </c>
      <c r="B200" s="375" t="str">
        <f>'HW Maintenance'!B44</f>
        <v>Gold Support IP22</v>
      </c>
      <c r="C200" s="379">
        <f>'HW Maintenance'!C44</f>
        <v>109</v>
      </c>
      <c r="D200" s="375">
        <f>'HW Maintenance'!D44</f>
        <v>0</v>
      </c>
      <c r="E200" s="379">
        <f>'HW Maintenance'!E44</f>
        <v>0</v>
      </c>
    </row>
    <row r="201" spans="1:5" x14ac:dyDescent="0.25">
      <c r="A201" s="377" t="str">
        <f>'HW Maintenance'!A45</f>
        <v>12-00300-132</v>
      </c>
      <c r="B201" s="375" t="str">
        <f>'HW Maintenance'!B45</f>
        <v>Gold Support IP29-4</v>
      </c>
      <c r="C201" s="379">
        <f>'HW Maintenance'!C45</f>
        <v>127</v>
      </c>
      <c r="D201" s="375">
        <f>'HW Maintenance'!D45</f>
        <v>0</v>
      </c>
      <c r="E201" s="379">
        <f>'HW Maintenance'!E45</f>
        <v>0</v>
      </c>
    </row>
    <row r="202" spans="1:5" x14ac:dyDescent="0.25">
      <c r="A202" s="377" t="str">
        <f>'HW Maintenance'!A46</f>
        <v>12-00300-129</v>
      </c>
      <c r="B202" s="375" t="str">
        <f>'HW Maintenance'!B46</f>
        <v>Gold Support IP29</v>
      </c>
      <c r="C202" s="379">
        <f>'HW Maintenance'!C46</f>
        <v>147</v>
      </c>
      <c r="D202" s="375">
        <f>'HW Maintenance'!D46</f>
        <v>0</v>
      </c>
      <c r="E202" s="379">
        <f>'HW Maintenance'!E46</f>
        <v>0</v>
      </c>
    </row>
    <row r="203" spans="1:5" x14ac:dyDescent="0.25">
      <c r="A203" s="377" t="str">
        <f>'HW Maintenance'!A47</f>
        <v>12-00300-111</v>
      </c>
      <c r="B203" s="375" t="str">
        <f>'HW Maintenance'!B47</f>
        <v>Gold Support IP311</v>
      </c>
      <c r="C203" s="379">
        <f>'HW Maintenance'!C47</f>
        <v>130</v>
      </c>
      <c r="D203" s="375">
        <f>'HW Maintenance'!D47</f>
        <v>0</v>
      </c>
      <c r="E203" s="379">
        <f>'HW Maintenance'!E47</f>
        <v>0</v>
      </c>
    </row>
    <row r="204" spans="1:5" x14ac:dyDescent="0.25">
      <c r="A204" s="377" t="str">
        <f>'HW Maintenance'!A48</f>
        <v>12-00300-114</v>
      </c>
      <c r="B204" s="375" t="str">
        <f>'HW Maintenance'!B48</f>
        <v>Gold Support IP411</v>
      </c>
      <c r="C204" s="379">
        <f>'HW Maintenance'!C48</f>
        <v>130</v>
      </c>
      <c r="D204" s="375">
        <f>'HW Maintenance'!D48</f>
        <v>0</v>
      </c>
      <c r="E204" s="379">
        <f>'HW Maintenance'!E48</f>
        <v>0</v>
      </c>
    </row>
    <row r="205" spans="1:5" x14ac:dyDescent="0.25">
      <c r="A205" s="377" t="str">
        <f>'HW Maintenance'!A49</f>
        <v>12-00300-117</v>
      </c>
      <c r="B205" s="375" t="str">
        <f>'HW Maintenance'!B49</f>
        <v>Gold Support IP811</v>
      </c>
      <c r="C205" s="379">
        <f>'HW Maintenance'!C49</f>
        <v>190</v>
      </c>
      <c r="D205" s="375">
        <f>'HW Maintenance'!D49</f>
        <v>0</v>
      </c>
      <c r="E205" s="379">
        <f>'HW Maintenance'!E49</f>
        <v>0</v>
      </c>
    </row>
    <row r="206" spans="1:5" x14ac:dyDescent="0.25">
      <c r="A206" s="377" t="str">
        <f>'HW Maintenance'!A50</f>
        <v>12-00300-126</v>
      </c>
      <c r="B206" s="375" t="str">
        <f>'HW Maintenance'!B50</f>
        <v>Gold Support IP0011</v>
      </c>
      <c r="C206" s="379">
        <f>'HW Maintenance'!C50</f>
        <v>138</v>
      </c>
      <c r="D206" s="375">
        <f>'HW Maintenance'!D50</f>
        <v>0</v>
      </c>
      <c r="E206" s="379">
        <f>'HW Maintenance'!E50</f>
        <v>0</v>
      </c>
    </row>
    <row r="207" spans="1:5" x14ac:dyDescent="0.25">
      <c r="A207" s="377" t="str">
        <f>'HW Maintenance'!A51</f>
        <v>12-00300-123</v>
      </c>
      <c r="B207" s="375" t="str">
        <f>'HW Maintenance'!B51</f>
        <v>Gold Support IP3011</v>
      </c>
      <c r="C207" s="379">
        <f>'HW Maintenance'!C51</f>
        <v>392</v>
      </c>
      <c r="D207" s="375">
        <f>'HW Maintenance'!D51</f>
        <v>0</v>
      </c>
      <c r="E207" s="379">
        <f>'HW Maintenance'!E51</f>
        <v>0</v>
      </c>
    </row>
    <row r="208" spans="1:5" x14ac:dyDescent="0.25">
      <c r="A208" s="377" t="str">
        <f>'HW Maintenance'!A52</f>
        <v>12-00300-120</v>
      </c>
      <c r="B208" s="375" t="str">
        <f>'HW Maintenance'!B52</f>
        <v>Gold Support IP1130</v>
      </c>
      <c r="C208" s="379">
        <f>'HW Maintenance'!C52</f>
        <v>320</v>
      </c>
      <c r="D208" s="375">
        <f>'HW Maintenance'!D52</f>
        <v>0</v>
      </c>
      <c r="E208" s="379">
        <f>'HW Maintenance'!E52</f>
        <v>0</v>
      </c>
    </row>
    <row r="209" spans="1:5" x14ac:dyDescent="0.25">
      <c r="A209" s="377" t="str">
        <f>'HW Maintenance'!A53</f>
        <v>12-00300-096</v>
      </c>
      <c r="B209" s="375" t="str">
        <f>'HW Maintenance'!B53</f>
        <v>Gold Support IP6010</v>
      </c>
      <c r="C209" s="379">
        <f>'HW Maintenance'!C53</f>
        <v>1000</v>
      </c>
      <c r="D209" s="375">
        <f>'HW Maintenance'!D53</f>
        <v>0</v>
      </c>
      <c r="E209" s="379">
        <f>'HW Maintenance'!E53</f>
        <v>0</v>
      </c>
    </row>
    <row r="210" spans="1:5" x14ac:dyDescent="0.25">
      <c r="A210" s="377" t="str">
        <f>'HW Maintenance'!A54</f>
        <v>12-00300-107</v>
      </c>
      <c r="B210" s="375" t="str">
        <f>'HW Maintenance'!B54</f>
        <v>Gold Support IP38</v>
      </c>
      <c r="C210" s="379">
        <f>'HW Maintenance'!C54</f>
        <v>147</v>
      </c>
      <c r="D210" s="375">
        <f>'HW Maintenance'!D54</f>
        <v>0</v>
      </c>
      <c r="E210" s="379">
        <f>'HW Maintenance'!E54</f>
        <v>0</v>
      </c>
    </row>
    <row r="211" spans="1:5" x14ac:dyDescent="0.25">
      <c r="A211" s="377" t="str">
        <f>'HW Maintenance'!A55</f>
        <v>12-00300-058</v>
      </c>
      <c r="B211" s="375" t="str">
        <f>'HW Maintenance'!B55</f>
        <v>Gold onsite Support IP22</v>
      </c>
      <c r="C211" s="379">
        <f>'HW Maintenance'!C55</f>
        <v>120</v>
      </c>
      <c r="D211" s="375">
        <f>'HW Maintenance'!D55</f>
        <v>0</v>
      </c>
      <c r="E211" s="379">
        <f>'HW Maintenance'!E55</f>
        <v>0</v>
      </c>
    </row>
    <row r="212" spans="1:5" x14ac:dyDescent="0.25">
      <c r="A212" s="377" t="str">
        <f>'HW Maintenance'!A56</f>
        <v>12-00300-133</v>
      </c>
      <c r="B212" s="375" t="str">
        <f>'HW Maintenance'!B56</f>
        <v>Gold onsite Support IP29-4</v>
      </c>
      <c r="C212" s="379">
        <f>'HW Maintenance'!C56</f>
        <v>152</v>
      </c>
      <c r="D212" s="375">
        <f>'HW Maintenance'!D56</f>
        <v>0</v>
      </c>
      <c r="E212" s="379">
        <f>'HW Maintenance'!E56</f>
        <v>0</v>
      </c>
    </row>
    <row r="213" spans="1:5" x14ac:dyDescent="0.25">
      <c r="A213" s="377" t="str">
        <f>'HW Maintenance'!A57</f>
        <v>12-00300-130</v>
      </c>
      <c r="B213" s="375" t="str">
        <f>'HW Maintenance'!B57</f>
        <v>Gold onsite Support IP29</v>
      </c>
      <c r="C213" s="379">
        <f>'HW Maintenance'!C57</f>
        <v>187</v>
      </c>
      <c r="D213" s="375">
        <f>'HW Maintenance'!D57</f>
        <v>0</v>
      </c>
      <c r="E213" s="379">
        <f>'HW Maintenance'!E57</f>
        <v>0</v>
      </c>
    </row>
    <row r="214" spans="1:5" x14ac:dyDescent="0.25">
      <c r="A214" s="377" t="str">
        <f>'HW Maintenance'!A58</f>
        <v>12-00300-112</v>
      </c>
      <c r="B214" s="375" t="str">
        <f>'HW Maintenance'!B58</f>
        <v>Gold onsite Support IP311</v>
      </c>
      <c r="C214" s="379">
        <f>'HW Maintenance'!C58</f>
        <v>158</v>
      </c>
      <c r="D214" s="375">
        <f>'HW Maintenance'!D58</f>
        <v>0</v>
      </c>
      <c r="E214" s="379">
        <f>'HW Maintenance'!E58</f>
        <v>0</v>
      </c>
    </row>
    <row r="215" spans="1:5" x14ac:dyDescent="0.25">
      <c r="A215" s="377" t="str">
        <f>'HW Maintenance'!A59</f>
        <v>12-00300-115</v>
      </c>
      <c r="B215" s="375" t="str">
        <f>'HW Maintenance'!B59</f>
        <v>Gold onsite Support IP411</v>
      </c>
      <c r="C215" s="379">
        <f>'HW Maintenance'!C59</f>
        <v>158</v>
      </c>
      <c r="D215" s="375">
        <f>'HW Maintenance'!D59</f>
        <v>0</v>
      </c>
      <c r="E215" s="379">
        <f>'HW Maintenance'!E59</f>
        <v>0</v>
      </c>
    </row>
    <row r="216" spans="1:5" x14ac:dyDescent="0.25">
      <c r="A216" s="377" t="str">
        <f>'HW Maintenance'!A60</f>
        <v>12-00300-118</v>
      </c>
      <c r="B216" s="375" t="str">
        <f>'HW Maintenance'!B60</f>
        <v>Gold onsite Support IP811</v>
      </c>
      <c r="C216" s="379">
        <f>'HW Maintenance'!C60</f>
        <v>263</v>
      </c>
      <c r="D216" s="375">
        <f>'HW Maintenance'!D60</f>
        <v>0</v>
      </c>
      <c r="E216" s="379">
        <f>'HW Maintenance'!E60</f>
        <v>0</v>
      </c>
    </row>
    <row r="217" spans="1:5" x14ac:dyDescent="0.25">
      <c r="A217" s="377" t="str">
        <f>'HW Maintenance'!A61</f>
        <v>12-00300-127</v>
      </c>
      <c r="B217" s="375" t="str">
        <f>'HW Maintenance'!B61</f>
        <v>Gold onsite Support IP0011</v>
      </c>
      <c r="C217" s="379">
        <f>'HW Maintenance'!C61</f>
        <v>172</v>
      </c>
      <c r="D217" s="375">
        <f>'HW Maintenance'!D61</f>
        <v>0</v>
      </c>
      <c r="E217" s="379">
        <f>'HW Maintenance'!E61</f>
        <v>0</v>
      </c>
    </row>
    <row r="218" spans="1:5" x14ac:dyDescent="0.25">
      <c r="A218" s="377" t="str">
        <f>'HW Maintenance'!A62</f>
        <v>12-00300-124</v>
      </c>
      <c r="B218" s="375" t="str">
        <f>'HW Maintenance'!B62</f>
        <v>Gold onsite Support IP3011</v>
      </c>
      <c r="C218" s="379">
        <f>'HW Maintenance'!C62</f>
        <v>616</v>
      </c>
      <c r="D218" s="375">
        <f>'HW Maintenance'!D62</f>
        <v>0</v>
      </c>
      <c r="E218" s="379">
        <f>'HW Maintenance'!E62</f>
        <v>0</v>
      </c>
    </row>
    <row r="219" spans="1:5" x14ac:dyDescent="0.25">
      <c r="A219" s="377" t="str">
        <f>'HW Maintenance'!A63</f>
        <v>12-00300-121</v>
      </c>
      <c r="B219" s="375" t="str">
        <f>'HW Maintenance'!B63</f>
        <v>Gold onsite Support IP1130</v>
      </c>
      <c r="C219" s="379">
        <f>'HW Maintenance'!C63</f>
        <v>490</v>
      </c>
      <c r="D219" s="375">
        <f>'HW Maintenance'!D63</f>
        <v>0</v>
      </c>
      <c r="E219" s="379">
        <f>'HW Maintenance'!E63</f>
        <v>0</v>
      </c>
    </row>
    <row r="220" spans="1:5" x14ac:dyDescent="0.25">
      <c r="A220" s="377" t="str">
        <f>'HW Maintenance'!A64</f>
        <v>12-00300-100</v>
      </c>
      <c r="B220" s="375" t="str">
        <f>'HW Maintenance'!B64</f>
        <v>Gold onsite Support IP6010</v>
      </c>
      <c r="C220" s="379">
        <f>'HW Maintenance'!C64</f>
        <v>1680</v>
      </c>
      <c r="D220" s="375">
        <f>'HW Maintenance'!D64</f>
        <v>0</v>
      </c>
      <c r="E220" s="379">
        <f>'HW Maintenance'!E64</f>
        <v>0</v>
      </c>
    </row>
    <row r="221" spans="1:5" x14ac:dyDescent="0.25">
      <c r="A221" s="377" t="str">
        <f>'HW Maintenance'!A65</f>
        <v>12-00300-109</v>
      </c>
      <c r="B221" s="375" t="str">
        <f>'HW Maintenance'!B65</f>
        <v>Gold onsite Support IP38</v>
      </c>
      <c r="C221" s="379">
        <f>'HW Maintenance'!C65</f>
        <v>187</v>
      </c>
      <c r="D221" s="375">
        <f>'HW Maintenance'!D65</f>
        <v>0</v>
      </c>
      <c r="E221" s="379">
        <f>'HW Maintenance'!E65</f>
        <v>0</v>
      </c>
    </row>
    <row r="222" spans="1:5" ht="6" customHeight="1" x14ac:dyDescent="0.25">
      <c r="A222" s="376"/>
      <c r="B222" s="376"/>
      <c r="C222" s="376"/>
      <c r="D222" s="376"/>
      <c r="E222" s="376"/>
    </row>
    <row r="223" spans="1:5" x14ac:dyDescent="0.25">
      <c r="A223" s="377" t="str">
        <f>Estos_XCAPI!B4</f>
        <v>51-00030-120</v>
      </c>
      <c r="B223" s="377" t="str">
        <f>Estos_XCAPI!C4</f>
        <v>ProCall 5 Enterprise 5 User</v>
      </c>
      <c r="C223" s="379">
        <f>Estos_XCAPI!E4</f>
        <v>629.41176470588232</v>
      </c>
      <c r="D223" s="375">
        <f>Estos_XCAPI!F4</f>
        <v>0</v>
      </c>
      <c r="E223" s="379">
        <f>Estos_XCAPI!G4</f>
        <v>0</v>
      </c>
    </row>
    <row r="224" spans="1:5" x14ac:dyDescent="0.25">
      <c r="A224" s="377" t="str">
        <f>Estos_XCAPI!B5</f>
        <v>51-00030-121</v>
      </c>
      <c r="B224" s="377" t="str">
        <f>Estos_XCAPI!C5</f>
        <v>ProCall 5 Enterprise 10 User</v>
      </c>
      <c r="C224" s="379">
        <f>Estos_XCAPI!E5</f>
        <v>1116.8067226890757</v>
      </c>
      <c r="D224" s="375">
        <f>Estos_XCAPI!F5</f>
        <v>0</v>
      </c>
      <c r="E224" s="379">
        <f>Estos_XCAPI!G5</f>
        <v>0</v>
      </c>
    </row>
    <row r="225" spans="1:5" x14ac:dyDescent="0.25">
      <c r="A225" s="377" t="str">
        <f>Estos_XCAPI!B6</f>
        <v>51-00030-122</v>
      </c>
      <c r="B225" s="377" t="str">
        <f>Estos_XCAPI!C6</f>
        <v>ProCall 5 Enterprise 25 User</v>
      </c>
      <c r="C225" s="379">
        <f>Estos_XCAPI!E6</f>
        <v>2419.3277310924368</v>
      </c>
      <c r="D225" s="375">
        <f>Estos_XCAPI!F6</f>
        <v>0</v>
      </c>
      <c r="E225" s="379">
        <f>Estos_XCAPI!G6</f>
        <v>0</v>
      </c>
    </row>
    <row r="226" spans="1:5" x14ac:dyDescent="0.25">
      <c r="A226" s="377" t="str">
        <f>Estos_XCAPI!B7</f>
        <v>51-00030-123</v>
      </c>
      <c r="B226" s="377" t="str">
        <f>Estos_XCAPI!C7</f>
        <v>ProCall 5 Enterprise 50 User</v>
      </c>
      <c r="C226" s="379">
        <f>Estos_XCAPI!E7</f>
        <v>4200.8403361344535</v>
      </c>
      <c r="D226" s="375">
        <f>Estos_XCAPI!F7</f>
        <v>0</v>
      </c>
      <c r="E226" s="379">
        <f>Estos_XCAPI!G7</f>
        <v>0</v>
      </c>
    </row>
    <row r="227" spans="1:5" x14ac:dyDescent="0.25">
      <c r="A227" s="377" t="str">
        <f>Estos_XCAPI!B8</f>
        <v>51-00030-124</v>
      </c>
      <c r="B227" s="377" t="str">
        <f>Estos_XCAPI!C8</f>
        <v>ProCall 5 Enterprise 75 User</v>
      </c>
      <c r="C227" s="379">
        <f>Estos_XCAPI!E8</f>
        <v>5881.5126050420167</v>
      </c>
      <c r="D227" s="375">
        <f>Estos_XCAPI!F8</f>
        <v>0</v>
      </c>
      <c r="E227" s="379">
        <f>Estos_XCAPI!G8</f>
        <v>0</v>
      </c>
    </row>
    <row r="228" spans="1:5" x14ac:dyDescent="0.25">
      <c r="A228" s="377" t="str">
        <f>Estos_XCAPI!B9</f>
        <v>51-00030-125</v>
      </c>
      <c r="B228" s="377" t="str">
        <f>Estos_XCAPI!C9</f>
        <v>ProCall 5 Enterprise 100 User</v>
      </c>
      <c r="C228" s="379">
        <f>Estos_XCAPI!E9</f>
        <v>7343.6974789915967</v>
      </c>
      <c r="D228" s="375">
        <f>Estos_XCAPI!F9</f>
        <v>0</v>
      </c>
      <c r="E228" s="379">
        <f>Estos_XCAPI!G9</f>
        <v>0</v>
      </c>
    </row>
    <row r="229" spans="1:5" x14ac:dyDescent="0.25">
      <c r="A229" s="377" t="str">
        <f>Estos_XCAPI!B10</f>
        <v>51-00030-114</v>
      </c>
      <c r="B229" s="377" t="str">
        <f>Estos_XCAPI!C10</f>
        <v>Upgrade ProCall 5 from 3.0 Enterprise 5 User</v>
      </c>
      <c r="C229" s="379">
        <f>Estos_XCAPI!E10</f>
        <v>503.52941176470597</v>
      </c>
      <c r="D229" s="375">
        <f>Estos_XCAPI!F10</f>
        <v>0</v>
      </c>
      <c r="E229" s="379">
        <f>Estos_XCAPI!G10</f>
        <v>0</v>
      </c>
    </row>
    <row r="230" spans="1:5" x14ac:dyDescent="0.25">
      <c r="A230" s="377" t="str">
        <f>Estos_XCAPI!B11</f>
        <v>51-00030-115</v>
      </c>
      <c r="B230" s="377" t="str">
        <f>Estos_XCAPI!C11</f>
        <v>Upgrade ProCall 5 from 3.0 Enterprise 10 User</v>
      </c>
      <c r="C230" s="379">
        <f>Estos_XCAPI!E11</f>
        <v>893.44537815126046</v>
      </c>
      <c r="D230" s="375">
        <f>Estos_XCAPI!F11</f>
        <v>0</v>
      </c>
      <c r="E230" s="379">
        <f>Estos_XCAPI!G11</f>
        <v>0</v>
      </c>
    </row>
    <row r="231" spans="1:5" x14ac:dyDescent="0.25">
      <c r="A231" s="377" t="str">
        <f>Estos_XCAPI!B12</f>
        <v>51-00030-116</v>
      </c>
      <c r="B231" s="377" t="str">
        <f>Estos_XCAPI!C12</f>
        <v>Upgrade ProCall 5 from 3.0 Enterprise 25 User</v>
      </c>
      <c r="C231" s="379">
        <f>Estos_XCAPI!E12</f>
        <v>1935.4621848739494</v>
      </c>
      <c r="D231" s="375">
        <f>Estos_XCAPI!F12</f>
        <v>0</v>
      </c>
      <c r="E231" s="379">
        <f>Estos_XCAPI!G12</f>
        <v>0</v>
      </c>
    </row>
    <row r="232" spans="1:5" x14ac:dyDescent="0.25">
      <c r="A232" s="377" t="str">
        <f>Estos_XCAPI!B13</f>
        <v>51-00030-117</v>
      </c>
      <c r="B232" s="377" t="str">
        <f>Estos_XCAPI!C13</f>
        <v>Upgrade ProCall 5 from 3.0 Enterprise 50 User</v>
      </c>
      <c r="C232" s="379">
        <f>Estos_XCAPI!E13</f>
        <v>3360.6722689075632</v>
      </c>
      <c r="D232" s="375">
        <f>Estos_XCAPI!F13</f>
        <v>0</v>
      </c>
      <c r="E232" s="379">
        <f>Estos_XCAPI!G13</f>
        <v>0</v>
      </c>
    </row>
    <row r="233" spans="1:5" x14ac:dyDescent="0.25">
      <c r="A233" s="377" t="str">
        <f>Estos_XCAPI!B14</f>
        <v>51-00030-118</v>
      </c>
      <c r="B233" s="377" t="str">
        <f>Estos_XCAPI!C14</f>
        <v>Upgrade ProCall 5 from 3.0 Enterprise 75 User</v>
      </c>
      <c r="C233" s="379">
        <f>Estos_XCAPI!E14</f>
        <v>4705.2100840336134</v>
      </c>
      <c r="D233" s="375">
        <f>Estos_XCAPI!F14</f>
        <v>0</v>
      </c>
      <c r="E233" s="379">
        <f>Estos_XCAPI!G14</f>
        <v>0</v>
      </c>
    </row>
    <row r="234" spans="1:5" x14ac:dyDescent="0.25">
      <c r="A234" s="377" t="str">
        <f>Estos_XCAPI!B15</f>
        <v>51-00030-119</v>
      </c>
      <c r="B234" s="377" t="str">
        <f>Estos_XCAPI!C15</f>
        <v>Upgrade ProCall 5 from 3.0 Enterprise 100 User</v>
      </c>
      <c r="C234" s="379">
        <f>Estos_XCAPI!E15</f>
        <v>5874.957983193277</v>
      </c>
      <c r="D234" s="375">
        <f>Estos_XCAPI!F15</f>
        <v>0</v>
      </c>
      <c r="E234" s="379">
        <f>Estos_XCAPI!G15</f>
        <v>0</v>
      </c>
    </row>
    <row r="235" spans="1:5" x14ac:dyDescent="0.25">
      <c r="A235" s="377" t="str">
        <f>Estos_XCAPI!B16</f>
        <v>51-00030-126</v>
      </c>
      <c r="B235" s="377" t="str">
        <f>Estos_XCAPI!C16</f>
        <v>Upgrade ProCall 5 from 4.0 and 4+ Enterprise 5 User</v>
      </c>
      <c r="C235" s="379">
        <f>Estos_XCAPI!E16</f>
        <v>421.71</v>
      </c>
      <c r="D235" s="375">
        <f>Estos_XCAPI!F16</f>
        <v>0</v>
      </c>
      <c r="E235" s="379">
        <f>Estos_XCAPI!G16</f>
        <v>0</v>
      </c>
    </row>
    <row r="236" spans="1:5" x14ac:dyDescent="0.25">
      <c r="A236" s="377" t="str">
        <f>Estos_XCAPI!B17</f>
        <v>51-00030-127</v>
      </c>
      <c r="B236" s="377" t="str">
        <f>Estos_XCAPI!C17</f>
        <v>Upgrade ProCall 5 from 4.0 and 4+ Enterprise 10 User</v>
      </c>
      <c r="C236" s="379">
        <f>Estos_XCAPI!E17</f>
        <v>748.26</v>
      </c>
      <c r="D236" s="375">
        <f>Estos_XCAPI!F17</f>
        <v>0</v>
      </c>
      <c r="E236" s="379">
        <f>Estos_XCAPI!G17</f>
        <v>0</v>
      </c>
    </row>
    <row r="237" spans="1:5" x14ac:dyDescent="0.25">
      <c r="A237" s="377" t="str">
        <f>Estos_XCAPI!B18</f>
        <v>51-00030-128</v>
      </c>
      <c r="B237" s="377" t="str">
        <f>Estos_XCAPI!C18</f>
        <v>Upgrade ProCall 5 from 4.0 and 4+ Enterprise 25 User</v>
      </c>
      <c r="C237" s="379">
        <f>Estos_XCAPI!E18</f>
        <v>1620.95</v>
      </c>
      <c r="D237" s="375">
        <f>Estos_XCAPI!F18</f>
        <v>0</v>
      </c>
      <c r="E237" s="379">
        <f>Estos_XCAPI!G18</f>
        <v>0</v>
      </c>
    </row>
    <row r="238" spans="1:5" x14ac:dyDescent="0.25">
      <c r="A238" s="377" t="str">
        <f>Estos_XCAPI!B19</f>
        <v>51-00030-129</v>
      </c>
      <c r="B238" s="377" t="str">
        <f>Estos_XCAPI!C19</f>
        <v>Upgrade ProCall 5 from 4.0 and 4+ Enterprise 50 User</v>
      </c>
      <c r="C238" s="379">
        <f>Estos_XCAPI!E19</f>
        <v>2814.56</v>
      </c>
      <c r="D238" s="375">
        <f>Estos_XCAPI!F19</f>
        <v>0</v>
      </c>
      <c r="E238" s="379">
        <f>Estos_XCAPI!G19</f>
        <v>0</v>
      </c>
    </row>
    <row r="239" spans="1:5" x14ac:dyDescent="0.25">
      <c r="A239" s="377" t="str">
        <f>Estos_XCAPI!B20</f>
        <v>51-00030-130</v>
      </c>
      <c r="B239" s="377" t="str">
        <f>Estos_XCAPI!C20</f>
        <v>Upgrade ProCall 5 from 4.0 and 4+ Enterprise 75 User</v>
      </c>
      <c r="C239" s="379">
        <f>Estos_XCAPI!E20</f>
        <v>3940.61</v>
      </c>
      <c r="D239" s="375">
        <f>Estos_XCAPI!F20</f>
        <v>0</v>
      </c>
      <c r="E239" s="379">
        <f>Estos_XCAPI!G20</f>
        <v>0</v>
      </c>
    </row>
    <row r="240" spans="1:5" x14ac:dyDescent="0.25">
      <c r="A240" s="377" t="str">
        <f>Estos_XCAPI!B21</f>
        <v>51-00030-131</v>
      </c>
      <c r="B240" s="377" t="str">
        <f>Estos_XCAPI!C21</f>
        <v>Upgrade ProCall 5 from 4.0 and 4+ Enterprise 100 User</v>
      </c>
      <c r="C240" s="379">
        <f>Estos_XCAPI!E21</f>
        <v>4920.28</v>
      </c>
      <c r="D240" s="375">
        <f>Estos_XCAPI!F21</f>
        <v>0</v>
      </c>
      <c r="E240" s="379">
        <f>Estos_XCAPI!G21</f>
        <v>0</v>
      </c>
    </row>
    <row r="241" spans="1:5" x14ac:dyDescent="0.25">
      <c r="A241" s="377" t="str">
        <f>Estos_XCAPI!B22</f>
        <v>51-00030-082</v>
      </c>
      <c r="B241" s="377" t="str">
        <f>Estos_XCAPI!C22</f>
        <v>META Directory 3.5</v>
      </c>
      <c r="C241" s="379">
        <f>Estos_XCAPI!E22</f>
        <v>621.01</v>
      </c>
      <c r="D241" s="375">
        <f>Estos_XCAPI!F22</f>
        <v>0</v>
      </c>
      <c r="E241" s="379">
        <f>Estos_XCAPI!G22</f>
        <v>0</v>
      </c>
    </row>
    <row r="242" spans="1:5" x14ac:dyDescent="0.25">
      <c r="A242" s="377" t="str">
        <f>Estos_XCAPI!B23</f>
        <v>51-00030-083</v>
      </c>
      <c r="B242" s="377" t="str">
        <f>Estos_XCAPI!C23</f>
        <v>META Directory 3.5 Professional</v>
      </c>
      <c r="C242" s="379">
        <f>Estos_XCAPI!E23</f>
        <v>1066.3865546218487</v>
      </c>
      <c r="D242" s="375">
        <f>Estos_XCAPI!F23</f>
        <v>0</v>
      </c>
      <c r="E242" s="379">
        <f>Estos_XCAPI!G23</f>
        <v>0</v>
      </c>
    </row>
    <row r="243" spans="1:5" x14ac:dyDescent="0.25">
      <c r="A243" s="377" t="str">
        <f>Estos_XCAPI!B24</f>
        <v>51-00030-084</v>
      </c>
      <c r="B243" s="377" t="str">
        <f>Estos_XCAPI!C24</f>
        <v>Upgrade META Directory</v>
      </c>
      <c r="C243" s="379">
        <f>Estos_XCAPI!E24</f>
        <v>310.08</v>
      </c>
      <c r="D243" s="375">
        <f>Estos_XCAPI!F24</f>
        <v>0</v>
      </c>
      <c r="E243" s="379">
        <f>Estos_XCAPI!G24</f>
        <v>0</v>
      </c>
    </row>
    <row r="244" spans="1:5" x14ac:dyDescent="0.25">
      <c r="A244" s="377" t="str">
        <f>Estos_XCAPI!B30</f>
        <v>51-00060-001</v>
      </c>
      <c r="B244" s="377" t="str">
        <f>Estos_XCAPI!C30</f>
        <v>XCAPI basic version (2 Channels)</v>
      </c>
      <c r="C244" s="379">
        <f>Estos_XCAPI!E30</f>
        <v>285</v>
      </c>
      <c r="D244" s="375">
        <f>Estos_XCAPI!F30</f>
        <v>0</v>
      </c>
      <c r="E244" s="379">
        <f>Estos_XCAPI!G30</f>
        <v>0</v>
      </c>
    </row>
    <row r="245" spans="1:5" x14ac:dyDescent="0.25">
      <c r="A245" s="377" t="str">
        <f>Estos_XCAPI!B31</f>
        <v>51-00060-002</v>
      </c>
      <c r="B245" s="377" t="str">
        <f>Estos_XCAPI!C31</f>
        <v>XCAPI extension (2 Channels)</v>
      </c>
      <c r="C245" s="379">
        <f>Estos_XCAPI!E31</f>
        <v>285</v>
      </c>
      <c r="D245" s="375">
        <f>Estos_XCAPI!F31</f>
        <v>0</v>
      </c>
      <c r="E245" s="379">
        <f>Estos_XCAPI!G31</f>
        <v>0</v>
      </c>
    </row>
    <row r="246" spans="1:5" x14ac:dyDescent="0.25">
      <c r="A246" s="377" t="str">
        <f>Estos_XCAPI!B32</f>
        <v>51-00060-004</v>
      </c>
      <c r="B246" s="377" t="str">
        <f>Estos_XCAPI!C32</f>
        <v>XCAPI fax extension (2 Channels) with T38 standard and Softfax</v>
      </c>
      <c r="C246" s="379">
        <f>Estos_XCAPI!E32</f>
        <v>215</v>
      </c>
      <c r="D246" s="375">
        <f>Estos_XCAPI!F32</f>
        <v>0</v>
      </c>
      <c r="E246" s="379">
        <f>Estos_XCAPI!G32</f>
        <v>0</v>
      </c>
    </row>
    <row r="247" spans="1:5" ht="13.8" thickBot="1" x14ac:dyDescent="0.3">
      <c r="A247" s="377" t="str">
        <f>Estos_XCAPI!B33</f>
        <v>51-00060-012</v>
      </c>
      <c r="B247" s="377" t="str">
        <f>Estos_XCAPI!C33</f>
        <v>XCAPI-Security extension with TLS/SRTP (2 Channels)</v>
      </c>
      <c r="C247" s="379">
        <f>Estos_XCAPI!E33</f>
        <v>125</v>
      </c>
      <c r="D247" s="375">
        <f>Estos_XCAPI!F33</f>
        <v>0</v>
      </c>
      <c r="E247" s="379">
        <f>Estos_XCAPI!G33</f>
        <v>0</v>
      </c>
    </row>
    <row r="248" spans="1:5" ht="13.8" thickBot="1" x14ac:dyDescent="0.3">
      <c r="A248" s="384"/>
      <c r="B248" s="385" t="s">
        <v>629</v>
      </c>
      <c r="C248" s="385"/>
      <c r="D248" s="385"/>
      <c r="E248" s="386">
        <f>SUM(E3:E247)</f>
        <v>0</v>
      </c>
    </row>
    <row r="252" spans="1:5" x14ac:dyDescent="0.25">
      <c r="E252" s="379"/>
    </row>
  </sheetData>
  <sheetProtection password="EE20" sheet="1" objects="1" scenarios="1"/>
  <pageMargins left="0.70866141732283472" right="0.70866141732283472" top="1.0629921259842521" bottom="0.78740157480314965" header="0.31496062992125984" footer="0.31496062992125984"/>
  <pageSetup paperSize="9" orientation="landscape" verticalDpi="4294967293" r:id="rId1"/>
  <headerFooter>
    <oddHeader>&amp;R&amp;G</oddHeader>
    <oddFooter>&amp;C&amp;P</oddFoot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0"/>
  <sheetViews>
    <sheetView workbookViewId="0">
      <selection activeCell="A21" sqref="A21"/>
    </sheetView>
  </sheetViews>
  <sheetFormatPr baseColWidth="10" defaultColWidth="11.5546875" defaultRowHeight="13.2" x14ac:dyDescent="0.25"/>
  <cols>
    <col min="1" max="1" width="195.5546875" style="291" customWidth="1"/>
    <col min="2" max="16384" width="11.5546875" style="291"/>
  </cols>
  <sheetData>
    <row r="1" spans="1:1" ht="20.399999999999999" x14ac:dyDescent="0.25">
      <c r="A1" s="639" t="s">
        <v>851</v>
      </c>
    </row>
    <row r="2" spans="1:1" ht="20.399999999999999" x14ac:dyDescent="0.25">
      <c r="A2" s="294"/>
    </row>
    <row r="3" spans="1:1" ht="20.399999999999999" x14ac:dyDescent="0.25">
      <c r="A3" s="294"/>
    </row>
    <row r="4" spans="1:1" x14ac:dyDescent="0.25">
      <c r="A4" s="640" t="s">
        <v>852</v>
      </c>
    </row>
    <row r="5" spans="1:1" x14ac:dyDescent="0.25">
      <c r="A5" s="295"/>
    </row>
    <row r="6" spans="1:1" x14ac:dyDescent="0.25">
      <c r="A6" s="295" t="s">
        <v>853</v>
      </c>
    </row>
    <row r="7" spans="1:1" x14ac:dyDescent="0.25">
      <c r="A7" s="295"/>
    </row>
    <row r="8" spans="1:1" x14ac:dyDescent="0.25">
      <c r="A8" s="295" t="s">
        <v>854</v>
      </c>
    </row>
    <row r="9" spans="1:1" x14ac:dyDescent="0.25">
      <c r="A9" s="295"/>
    </row>
    <row r="10" spans="1:1" ht="26.4" x14ac:dyDescent="0.25">
      <c r="A10" s="295" t="s">
        <v>855</v>
      </c>
    </row>
    <row r="11" spans="1:1" x14ac:dyDescent="0.25">
      <c r="A11" s="295"/>
    </row>
    <row r="12" spans="1:1" ht="26.4" x14ac:dyDescent="0.25">
      <c r="A12" s="295" t="s">
        <v>856</v>
      </c>
    </row>
    <row r="13" spans="1:1" x14ac:dyDescent="0.25">
      <c r="A13" s="295"/>
    </row>
    <row r="14" spans="1:1" x14ac:dyDescent="0.25">
      <c r="A14" s="295" t="s">
        <v>857</v>
      </c>
    </row>
    <row r="15" spans="1:1" x14ac:dyDescent="0.25">
      <c r="A15" s="295"/>
    </row>
    <row r="16" spans="1:1" x14ac:dyDescent="0.25">
      <c r="A16" s="295" t="s">
        <v>858</v>
      </c>
    </row>
    <row r="17" spans="1:1" x14ac:dyDescent="0.25">
      <c r="A17" s="295"/>
    </row>
    <row r="18" spans="1:1" x14ac:dyDescent="0.25">
      <c r="A18" s="296"/>
    </row>
    <row r="19" spans="1:1" x14ac:dyDescent="0.25">
      <c r="A19" s="640" t="s">
        <v>859</v>
      </c>
    </row>
    <row r="20" spans="1:1" x14ac:dyDescent="0.25">
      <c r="A20" s="297"/>
    </row>
    <row r="21" spans="1:1" x14ac:dyDescent="0.25">
      <c r="A21" s="297" t="s">
        <v>860</v>
      </c>
    </row>
    <row r="22" spans="1:1" x14ac:dyDescent="0.25">
      <c r="A22" s="297" t="s">
        <v>861</v>
      </c>
    </row>
    <row r="23" spans="1:1" x14ac:dyDescent="0.25">
      <c r="A23" s="297" t="s">
        <v>862</v>
      </c>
    </row>
    <row r="24" spans="1:1" x14ac:dyDescent="0.25">
      <c r="A24" s="297" t="s">
        <v>863</v>
      </c>
    </row>
    <row r="25" spans="1:1" x14ac:dyDescent="0.25">
      <c r="A25" s="297" t="s">
        <v>864</v>
      </c>
    </row>
    <row r="26" spans="1:1" x14ac:dyDescent="0.25">
      <c r="A26" s="297" t="s">
        <v>865</v>
      </c>
    </row>
    <row r="27" spans="1:1" ht="26.4" x14ac:dyDescent="0.25">
      <c r="A27" s="297" t="s">
        <v>866</v>
      </c>
    </row>
    <row r="28" spans="1:1" x14ac:dyDescent="0.25">
      <c r="A28" s="297"/>
    </row>
    <row r="29" spans="1:1" x14ac:dyDescent="0.25">
      <c r="A29" s="296"/>
    </row>
    <row r="30" spans="1:1" ht="15.6" x14ac:dyDescent="0.25">
      <c r="A30" s="640" t="s">
        <v>867</v>
      </c>
    </row>
    <row r="31" spans="1:1" x14ac:dyDescent="0.25">
      <c r="A31" s="295"/>
    </row>
    <row r="32" spans="1:1" ht="39.6" x14ac:dyDescent="0.25">
      <c r="A32" s="295" t="s">
        <v>868</v>
      </c>
    </row>
    <row r="33" spans="1:1" ht="26.4" x14ac:dyDescent="0.25">
      <c r="A33" s="295" t="s">
        <v>869</v>
      </c>
    </row>
    <row r="34" spans="1:1" ht="28.8" x14ac:dyDescent="0.25">
      <c r="A34" s="295" t="s">
        <v>870</v>
      </c>
    </row>
    <row r="35" spans="1:1" x14ac:dyDescent="0.25">
      <c r="A35" s="295"/>
    </row>
    <row r="36" spans="1:1" x14ac:dyDescent="0.25">
      <c r="A36" s="298"/>
    </row>
    <row r="37" spans="1:1" ht="15.6" x14ac:dyDescent="0.25">
      <c r="A37" s="640" t="s">
        <v>871</v>
      </c>
    </row>
    <row r="38" spans="1:1" x14ac:dyDescent="0.25">
      <c r="A38" s="295"/>
    </row>
    <row r="39" spans="1:1" ht="39.6" x14ac:dyDescent="0.25">
      <c r="A39" s="295" t="s">
        <v>872</v>
      </c>
    </row>
    <row r="40" spans="1:1" ht="26.4" x14ac:dyDescent="0.25">
      <c r="A40" s="295" t="s">
        <v>869</v>
      </c>
    </row>
    <row r="41" spans="1:1" ht="28.8" x14ac:dyDescent="0.25">
      <c r="A41" s="295" t="s">
        <v>870</v>
      </c>
    </row>
    <row r="42" spans="1:1" x14ac:dyDescent="0.25">
      <c r="A42" s="295"/>
    </row>
    <row r="43" spans="1:1" x14ac:dyDescent="0.25">
      <c r="A43" s="296"/>
    </row>
    <row r="44" spans="1:1" ht="15.6" x14ac:dyDescent="0.25">
      <c r="A44" s="640" t="s">
        <v>873</v>
      </c>
    </row>
    <row r="45" spans="1:1" x14ac:dyDescent="0.25">
      <c r="A45" s="295"/>
    </row>
    <row r="46" spans="1:1" ht="26.4" x14ac:dyDescent="0.25">
      <c r="A46" s="295" t="s">
        <v>874</v>
      </c>
    </row>
    <row r="47" spans="1:1" x14ac:dyDescent="0.25">
      <c r="A47" s="295" t="s">
        <v>875</v>
      </c>
    </row>
    <row r="48" spans="1:1" x14ac:dyDescent="0.25">
      <c r="A48" s="295" t="s">
        <v>876</v>
      </c>
    </row>
    <row r="49" spans="1:1" ht="28.8" x14ac:dyDescent="0.25">
      <c r="A49" s="295" t="s">
        <v>870</v>
      </c>
    </row>
    <row r="50" spans="1:1" x14ac:dyDescent="0.25">
      <c r="A50" s="295"/>
    </row>
    <row r="51" spans="1:1" x14ac:dyDescent="0.25">
      <c r="A51" s="296"/>
    </row>
    <row r="52" spans="1:1" x14ac:dyDescent="0.25">
      <c r="A52" s="296"/>
    </row>
    <row r="53" spans="1:1" x14ac:dyDescent="0.25">
      <c r="A53" s="295" t="s">
        <v>877</v>
      </c>
    </row>
    <row r="54" spans="1:1" x14ac:dyDescent="0.25">
      <c r="A54" s="295"/>
    </row>
    <row r="55" spans="1:1" ht="26.4" x14ac:dyDescent="0.25">
      <c r="A55" s="295" t="s">
        <v>878</v>
      </c>
    </row>
    <row r="56" spans="1:1" x14ac:dyDescent="0.25">
      <c r="A56" s="295"/>
    </row>
    <row r="57" spans="1:1" x14ac:dyDescent="0.25">
      <c r="A57" s="295" t="s">
        <v>879</v>
      </c>
    </row>
    <row r="58" spans="1:1" x14ac:dyDescent="0.25">
      <c r="A58" s="295"/>
    </row>
    <row r="59" spans="1:1" ht="52.8" x14ac:dyDescent="0.25">
      <c r="A59" s="295" t="s">
        <v>880</v>
      </c>
    </row>
    <row r="60" spans="1:1" x14ac:dyDescent="0.25">
      <c r="A60" s="295"/>
    </row>
    <row r="61" spans="1:1" ht="39.6" x14ac:dyDescent="0.25">
      <c r="A61" s="295" t="s">
        <v>881</v>
      </c>
    </row>
    <row r="62" spans="1:1" x14ac:dyDescent="0.25">
      <c r="A62" s="295"/>
    </row>
    <row r="63" spans="1:1" ht="26.4" x14ac:dyDescent="0.25">
      <c r="A63" s="295" t="s">
        <v>882</v>
      </c>
    </row>
    <row r="64" spans="1:1" x14ac:dyDescent="0.25">
      <c r="A64" s="295"/>
    </row>
    <row r="65" spans="1:1" ht="26.4" x14ac:dyDescent="0.25">
      <c r="A65" s="295" t="s">
        <v>883</v>
      </c>
    </row>
    <row r="66" spans="1:1" x14ac:dyDescent="0.25">
      <c r="A66" s="295"/>
    </row>
    <row r="67" spans="1:1" x14ac:dyDescent="0.25">
      <c r="A67" s="295" t="s">
        <v>884</v>
      </c>
    </row>
    <row r="68" spans="1:1" x14ac:dyDescent="0.25">
      <c r="A68" s="293"/>
    </row>
    <row r="70" spans="1:1" x14ac:dyDescent="0.25">
      <c r="A70" s="292"/>
    </row>
  </sheetData>
  <sheetProtection password="EE20" sheet="1" objects="1" scenarios="1"/>
  <pageMargins left="0.7" right="0.7" top="0.78740157499999996" bottom="0.78740157499999996" header="0.3" footer="0.3"/>
  <pageSetup paperSize="9" orientation="portrait" verticalDpi="0"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3.2" x14ac:dyDescent="0.25"/>
  <sheetData/>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285"/>
  <sheetViews>
    <sheetView zoomScaleNormal="100" zoomScalePageLayoutView="82" workbookViewId="0">
      <selection activeCell="K44" sqref="K44"/>
    </sheetView>
  </sheetViews>
  <sheetFormatPr baseColWidth="10" defaultColWidth="11.109375" defaultRowHeight="45" customHeight="1" x14ac:dyDescent="0.3"/>
  <cols>
    <col min="1" max="2" width="11.109375" style="5"/>
    <col min="3" max="3" width="15.44140625" style="5" customWidth="1"/>
    <col min="4" max="4" width="23" style="5" customWidth="1"/>
    <col min="5" max="5" width="37.21875" style="98" customWidth="1"/>
    <col min="6" max="6" width="15.33203125" style="102" customWidth="1"/>
    <col min="7" max="7" width="11.109375" style="5"/>
    <col min="8" max="8" width="14.6640625" style="5" customWidth="1"/>
    <col min="9" max="16384" width="11.109375" style="5"/>
  </cols>
  <sheetData>
    <row r="1" spans="1:9" ht="45" customHeight="1" x14ac:dyDescent="0.3">
      <c r="A1" s="283"/>
      <c r="B1" s="283"/>
      <c r="C1" s="283"/>
      <c r="D1" s="283"/>
      <c r="E1" s="284"/>
      <c r="F1" s="285"/>
      <c r="G1" s="283"/>
      <c r="H1" s="283"/>
    </row>
    <row r="2" spans="1:9" s="2" customFormat="1" ht="36" customHeight="1" x14ac:dyDescent="0.25">
      <c r="A2" s="651" t="s">
        <v>518</v>
      </c>
      <c r="B2" s="651"/>
      <c r="C2" s="651"/>
      <c r="D2" s="651"/>
      <c r="E2" s="651"/>
      <c r="F2" s="651"/>
      <c r="G2" s="651"/>
      <c r="H2" s="651"/>
      <c r="I2" s="1"/>
    </row>
    <row r="3" spans="1:9" s="4" customFormat="1" ht="13.95" customHeight="1" thickBot="1" x14ac:dyDescent="0.3">
      <c r="A3" s="3"/>
      <c r="B3" s="3"/>
      <c r="C3" s="3"/>
      <c r="D3" s="3"/>
      <c r="E3" s="439" t="s">
        <v>519</v>
      </c>
      <c r="F3" s="218" t="s">
        <v>520</v>
      </c>
      <c r="G3" s="218" t="s">
        <v>521</v>
      </c>
      <c r="H3" s="437" t="s">
        <v>522</v>
      </c>
    </row>
    <row r="4" spans="1:9" ht="42" thickBot="1" x14ac:dyDescent="0.35">
      <c r="D4" s="432" t="s">
        <v>356</v>
      </c>
      <c r="E4" s="587" t="s">
        <v>585</v>
      </c>
      <c r="F4" s="37">
        <v>450</v>
      </c>
      <c r="G4" s="38"/>
      <c r="H4" s="39">
        <f t="shared" ref="H4" si="0">G4*F4</f>
        <v>0</v>
      </c>
    </row>
    <row r="5" spans="1:9" ht="41.4" x14ac:dyDescent="0.3">
      <c r="D5" s="422" t="s">
        <v>327</v>
      </c>
      <c r="E5" s="430" t="s">
        <v>586</v>
      </c>
      <c r="F5" s="16">
        <v>450</v>
      </c>
      <c r="G5" s="10"/>
      <c r="H5" s="11">
        <f t="shared" ref="H5" si="1">G5*F5</f>
        <v>0</v>
      </c>
    </row>
    <row r="6" spans="1:9" ht="27.6" customHeight="1" thickBot="1" x14ac:dyDescent="0.35">
      <c r="D6" s="116"/>
      <c r="E6" s="423" t="s">
        <v>583</v>
      </c>
      <c r="F6" s="9">
        <v>750</v>
      </c>
      <c r="G6" s="17"/>
      <c r="H6" s="18">
        <f t="shared" ref="H6" si="2">G6*F6</f>
        <v>0</v>
      </c>
    </row>
    <row r="7" spans="1:9" ht="13.8" x14ac:dyDescent="0.3">
      <c r="D7" s="426"/>
      <c r="E7" s="427" t="s">
        <v>549</v>
      </c>
      <c r="F7" s="20">
        <v>50</v>
      </c>
      <c r="G7" s="19"/>
      <c r="H7" s="21">
        <f t="shared" ref="H7:H16" si="3">G7*F7</f>
        <v>0</v>
      </c>
    </row>
    <row r="8" spans="1:9" ht="28.2" thickBot="1" x14ac:dyDescent="0.35">
      <c r="A8" s="12"/>
      <c r="B8" s="12"/>
      <c r="C8" s="12"/>
      <c r="D8" s="428"/>
      <c r="E8" s="586" t="s">
        <v>550</v>
      </c>
      <c r="F8" s="16">
        <v>30</v>
      </c>
      <c r="G8" s="348">
        <f>G7*2</f>
        <v>0</v>
      </c>
      <c r="H8" s="18">
        <f t="shared" si="3"/>
        <v>0</v>
      </c>
    </row>
    <row r="9" spans="1:9" ht="27.6" x14ac:dyDescent="0.3">
      <c r="A9" s="22"/>
      <c r="D9" s="429" t="s">
        <v>328</v>
      </c>
      <c r="E9" s="430" t="s">
        <v>577</v>
      </c>
      <c r="F9" s="23">
        <v>1750</v>
      </c>
      <c r="G9" s="24"/>
      <c r="H9" s="25">
        <f t="shared" si="3"/>
        <v>0</v>
      </c>
    </row>
    <row r="10" spans="1:9" ht="26.4" customHeight="1" x14ac:dyDescent="0.3">
      <c r="D10" s="116"/>
      <c r="E10" s="431" t="s">
        <v>578</v>
      </c>
      <c r="F10" s="9">
        <v>4800</v>
      </c>
      <c r="G10" s="10"/>
      <c r="H10" s="11">
        <f t="shared" si="3"/>
        <v>0</v>
      </c>
    </row>
    <row r="11" spans="1:9" ht="42" thickBot="1" x14ac:dyDescent="0.35">
      <c r="A11" s="12"/>
      <c r="B11" s="12"/>
      <c r="C11" s="12"/>
      <c r="D11" s="428"/>
      <c r="E11" s="425" t="s">
        <v>584</v>
      </c>
      <c r="F11" s="16">
        <v>1400</v>
      </c>
      <c r="G11" s="17"/>
      <c r="H11" s="18">
        <f t="shared" si="3"/>
        <v>0</v>
      </c>
    </row>
    <row r="12" spans="1:9" ht="13.8" x14ac:dyDescent="0.3">
      <c r="D12" s="426"/>
      <c r="E12" s="617" t="s">
        <v>581</v>
      </c>
      <c r="F12" s="26">
        <v>700</v>
      </c>
      <c r="G12" s="27"/>
      <c r="H12" s="28">
        <f>G12*F12</f>
        <v>0</v>
      </c>
    </row>
    <row r="13" spans="1:9" ht="13.8" x14ac:dyDescent="0.3">
      <c r="D13" s="352"/>
      <c r="E13" s="431" t="s">
        <v>582</v>
      </c>
      <c r="F13" s="33">
        <v>50</v>
      </c>
      <c r="G13" s="34"/>
      <c r="H13" s="35">
        <f>G13*F13</f>
        <v>0</v>
      </c>
    </row>
    <row r="14" spans="1:9" ht="28.2" thickBot="1" x14ac:dyDescent="0.35">
      <c r="A14" s="12"/>
      <c r="B14" s="12"/>
      <c r="C14" s="12"/>
      <c r="D14" s="428"/>
      <c r="E14" s="586" t="s">
        <v>550</v>
      </c>
      <c r="F14" s="16">
        <v>30</v>
      </c>
      <c r="G14" s="348">
        <f>(G12*30)+(G13*2)</f>
        <v>0</v>
      </c>
      <c r="H14" s="18">
        <f t="shared" si="3"/>
        <v>0</v>
      </c>
    </row>
    <row r="15" spans="1:9" ht="14.4" thickBot="1" x14ac:dyDescent="0.35">
      <c r="A15" s="36"/>
      <c r="B15" s="36"/>
      <c r="C15" s="36"/>
      <c r="D15" s="432" t="s">
        <v>357</v>
      </c>
      <c r="E15" s="433" t="s">
        <v>579</v>
      </c>
      <c r="F15" s="37">
        <v>490</v>
      </c>
      <c r="G15" s="38"/>
      <c r="H15" s="39">
        <f t="shared" si="3"/>
        <v>0</v>
      </c>
    </row>
    <row r="16" spans="1:9" ht="28.2" thickBot="1" x14ac:dyDescent="0.35">
      <c r="A16" s="36"/>
      <c r="B16" s="36"/>
      <c r="C16" s="36"/>
      <c r="D16" s="432" t="s">
        <v>326</v>
      </c>
      <c r="E16" s="433" t="s">
        <v>580</v>
      </c>
      <c r="F16" s="37">
        <v>535</v>
      </c>
      <c r="G16" s="38"/>
      <c r="H16" s="39">
        <f t="shared" si="3"/>
        <v>0</v>
      </c>
    </row>
    <row r="17" spans="1:9" ht="14.4" thickBot="1" x14ac:dyDescent="0.35">
      <c r="A17" s="36"/>
      <c r="B17" s="36"/>
      <c r="C17" s="36"/>
      <c r="D17" s="432" t="s">
        <v>544</v>
      </c>
      <c r="E17" s="433" t="s">
        <v>340</v>
      </c>
      <c r="F17" s="37">
        <v>85</v>
      </c>
      <c r="G17" s="38"/>
      <c r="H17" s="39">
        <f>G17*F17</f>
        <v>0</v>
      </c>
    </row>
    <row r="18" spans="1:9" ht="42" thickBot="1" x14ac:dyDescent="0.35">
      <c r="A18" s="36"/>
      <c r="B18" s="36"/>
      <c r="C18" s="36"/>
      <c r="D18" s="432" t="s">
        <v>545</v>
      </c>
      <c r="E18" s="587" t="s">
        <v>550</v>
      </c>
      <c r="F18" s="37">
        <v>30</v>
      </c>
      <c r="G18" s="38"/>
      <c r="H18" s="39">
        <f>G18*F18</f>
        <v>0</v>
      </c>
    </row>
    <row r="19" spans="1:9" ht="13.8" x14ac:dyDescent="0.3">
      <c r="A19" s="29"/>
      <c r="B19" s="29"/>
      <c r="C19" s="29"/>
      <c r="D19" s="434" t="s">
        <v>543</v>
      </c>
      <c r="E19" s="618" t="s">
        <v>548</v>
      </c>
      <c r="F19" s="325">
        <v>700</v>
      </c>
      <c r="G19" s="30"/>
      <c r="H19" s="326">
        <f>F19*G19</f>
        <v>0</v>
      </c>
    </row>
    <row r="20" spans="1:9" ht="14.4" thickBot="1" x14ac:dyDescent="0.35">
      <c r="A20" s="29"/>
      <c r="B20" s="29"/>
      <c r="C20" s="29"/>
      <c r="D20" s="435"/>
      <c r="E20" s="586" t="s">
        <v>549</v>
      </c>
      <c r="F20" s="325">
        <v>50</v>
      </c>
      <c r="G20" s="30"/>
      <c r="H20" s="326">
        <f>F20*G20</f>
        <v>0</v>
      </c>
    </row>
    <row r="21" spans="1:9" ht="18" customHeight="1" thickTop="1" thickBot="1" x14ac:dyDescent="0.35">
      <c r="A21" s="40"/>
      <c r="B21" s="40"/>
      <c r="C21" s="40"/>
      <c r="D21" s="436" t="s">
        <v>542</v>
      </c>
      <c r="E21" s="217"/>
      <c r="F21" s="41"/>
      <c r="G21" s="42"/>
      <c r="H21" s="43">
        <f>SUM(H4:H20)</f>
        <v>0</v>
      </c>
    </row>
    <row r="22" spans="1:9" ht="30" customHeight="1" thickTop="1" x14ac:dyDescent="0.3">
      <c r="A22" s="12"/>
      <c r="B22" s="12"/>
      <c r="C22" s="12"/>
      <c r="D22" s="12"/>
      <c r="E22" s="12"/>
      <c r="F22" s="12"/>
      <c r="G22" s="12"/>
      <c r="H22" s="12"/>
    </row>
    <row r="23" spans="1:9" ht="36" customHeight="1" x14ac:dyDescent="0.3">
      <c r="A23" s="651" t="s">
        <v>524</v>
      </c>
      <c r="B23" s="651"/>
      <c r="C23" s="651"/>
      <c r="D23" s="651"/>
      <c r="E23" s="651"/>
      <c r="F23" s="651"/>
      <c r="G23" s="651"/>
      <c r="H23" s="651"/>
      <c r="I23" s="44"/>
    </row>
    <row r="24" spans="1:9" ht="13.8" x14ac:dyDescent="0.3">
      <c r="A24" s="3"/>
      <c r="B24" s="3"/>
      <c r="C24" s="3"/>
      <c r="D24" s="3"/>
      <c r="E24" s="439" t="s">
        <v>519</v>
      </c>
      <c r="F24" s="218" t="s">
        <v>520</v>
      </c>
      <c r="G24" s="218" t="s">
        <v>521</v>
      </c>
      <c r="H24" s="437" t="s">
        <v>522</v>
      </c>
    </row>
    <row r="25" spans="1:9" ht="13.8" x14ac:dyDescent="0.3">
      <c r="D25" s="7" t="s">
        <v>524</v>
      </c>
      <c r="E25" s="8" t="s">
        <v>567</v>
      </c>
      <c r="F25" s="396">
        <v>199</v>
      </c>
      <c r="G25" s="45"/>
      <c r="H25" s="46">
        <f t="shared" ref="H25:H34" si="4">G25*F25</f>
        <v>0</v>
      </c>
    </row>
    <row r="26" spans="1:9" ht="13.8" x14ac:dyDescent="0.3">
      <c r="E26" s="8" t="s">
        <v>569</v>
      </c>
      <c r="F26" s="396">
        <v>229</v>
      </c>
      <c r="G26" s="45"/>
      <c r="H26" s="46">
        <f t="shared" si="4"/>
        <v>0</v>
      </c>
    </row>
    <row r="27" spans="1:9" ht="13.8" x14ac:dyDescent="0.3">
      <c r="E27" s="8" t="s">
        <v>568</v>
      </c>
      <c r="F27" s="396">
        <v>254</v>
      </c>
      <c r="G27" s="45"/>
      <c r="H27" s="46">
        <f t="shared" si="4"/>
        <v>0</v>
      </c>
    </row>
    <row r="28" spans="1:9" ht="13.8" x14ac:dyDescent="0.3">
      <c r="C28" s="47"/>
      <c r="E28" s="8" t="s">
        <v>570</v>
      </c>
      <c r="F28" s="396">
        <v>278</v>
      </c>
      <c r="G28" s="45"/>
      <c r="H28" s="46">
        <f t="shared" si="4"/>
        <v>0</v>
      </c>
    </row>
    <row r="29" spans="1:9" ht="13.8" x14ac:dyDescent="0.3">
      <c r="B29" s="13"/>
      <c r="C29" s="47"/>
      <c r="E29" s="8" t="s">
        <v>557</v>
      </c>
      <c r="F29" s="396">
        <v>99</v>
      </c>
      <c r="G29" s="45"/>
      <c r="H29" s="46">
        <f t="shared" si="4"/>
        <v>0</v>
      </c>
    </row>
    <row r="30" spans="1:9" ht="13.8" x14ac:dyDescent="0.3">
      <c r="B30" s="13"/>
      <c r="C30" s="47"/>
      <c r="E30" s="8" t="s">
        <v>558</v>
      </c>
      <c r="F30" s="396">
        <v>143</v>
      </c>
      <c r="G30" s="45"/>
      <c r="H30" s="46">
        <f t="shared" si="4"/>
        <v>0</v>
      </c>
    </row>
    <row r="31" spans="1:9" ht="13.8" x14ac:dyDescent="0.3">
      <c r="B31" s="47"/>
      <c r="C31" s="47"/>
      <c r="E31" s="8" t="s">
        <v>559</v>
      </c>
      <c r="F31" s="396">
        <v>180</v>
      </c>
      <c r="G31" s="45"/>
      <c r="H31" s="46">
        <f t="shared" si="4"/>
        <v>0</v>
      </c>
    </row>
    <row r="32" spans="1:9" ht="14.4" thickBot="1" x14ac:dyDescent="0.35">
      <c r="E32" s="8" t="s">
        <v>560</v>
      </c>
      <c r="F32" s="396">
        <v>239</v>
      </c>
      <c r="G32" s="45"/>
      <c r="H32" s="46">
        <f t="shared" si="4"/>
        <v>0</v>
      </c>
    </row>
    <row r="33" spans="1:9" ht="13.8" x14ac:dyDescent="0.3">
      <c r="A33" s="50"/>
      <c r="B33" s="50"/>
      <c r="C33" s="50"/>
      <c r="D33" s="607" t="s">
        <v>546</v>
      </c>
      <c r="E33" s="52" t="s">
        <v>561</v>
      </c>
      <c r="F33" s="399">
        <v>825</v>
      </c>
      <c r="G33" s="53"/>
      <c r="H33" s="54">
        <f t="shared" si="4"/>
        <v>0</v>
      </c>
    </row>
    <row r="34" spans="1:9" ht="14.4" thickBot="1" x14ac:dyDescent="0.35">
      <c r="A34" s="12"/>
      <c r="B34" s="12"/>
      <c r="C34" s="12"/>
      <c r="D34" s="12"/>
      <c r="E34" s="15" t="s">
        <v>571</v>
      </c>
      <c r="F34" s="397">
        <v>1990</v>
      </c>
      <c r="G34" s="48"/>
      <c r="H34" s="49">
        <f t="shared" si="4"/>
        <v>0</v>
      </c>
    </row>
    <row r="35" spans="1:9" ht="13.8" x14ac:dyDescent="0.3">
      <c r="A35" s="50"/>
      <c r="B35" s="50"/>
      <c r="C35" s="50"/>
      <c r="D35" s="607" t="s">
        <v>547</v>
      </c>
      <c r="E35" s="168" t="s">
        <v>573</v>
      </c>
      <c r="F35" s="399">
        <v>175</v>
      </c>
      <c r="G35" s="53"/>
      <c r="H35" s="353">
        <f>G35*F35</f>
        <v>0</v>
      </c>
    </row>
    <row r="36" spans="1:9" ht="13.8" x14ac:dyDescent="0.3">
      <c r="A36" s="51"/>
      <c r="B36" s="51"/>
      <c r="C36" s="51"/>
      <c r="D36" s="99"/>
      <c r="E36" s="115" t="s">
        <v>574</v>
      </c>
      <c r="F36" s="420">
        <v>195</v>
      </c>
      <c r="G36" s="155"/>
      <c r="H36" s="46">
        <f>G36*F36</f>
        <v>0</v>
      </c>
    </row>
    <row r="37" spans="1:9" ht="27.6" x14ac:dyDescent="0.3">
      <c r="A37" s="51"/>
      <c r="B37" s="51"/>
      <c r="C37" s="51"/>
      <c r="D37" s="99"/>
      <c r="E37" s="115" t="s">
        <v>575</v>
      </c>
      <c r="F37" s="420">
        <v>25</v>
      </c>
      <c r="G37" s="155"/>
      <c r="H37" s="177">
        <f>G37*F37</f>
        <v>0</v>
      </c>
    </row>
    <row r="38" spans="1:9" ht="27.6" x14ac:dyDescent="0.3">
      <c r="A38" s="51"/>
      <c r="B38" s="51"/>
      <c r="C38" s="51"/>
      <c r="D38" s="99"/>
      <c r="E38" s="115" t="s">
        <v>576</v>
      </c>
      <c r="F38" s="420">
        <v>50</v>
      </c>
      <c r="G38" s="155"/>
      <c r="H38" s="177">
        <f>G38*F38</f>
        <v>0</v>
      </c>
    </row>
    <row r="39" spans="1:9" ht="28.2" thickBot="1" x14ac:dyDescent="0.35">
      <c r="A39" s="51"/>
      <c r="B39" s="51"/>
      <c r="C39" s="51"/>
      <c r="D39" s="99"/>
      <c r="E39" s="610" t="s">
        <v>572</v>
      </c>
      <c r="F39" s="420">
        <v>99</v>
      </c>
      <c r="G39" s="155"/>
      <c r="H39" s="177">
        <f>G39*F39</f>
        <v>0</v>
      </c>
    </row>
    <row r="40" spans="1:9" ht="18" customHeight="1" thickTop="1" thickBot="1" x14ac:dyDescent="0.35">
      <c r="A40" s="40"/>
      <c r="B40" s="40"/>
      <c r="C40" s="40"/>
      <c r="D40" s="42" t="s">
        <v>540</v>
      </c>
      <c r="E40" s="40"/>
      <c r="F40" s="438"/>
      <c r="G40" s="42"/>
      <c r="H40" s="43">
        <f>SUM(H25:H39)</f>
        <v>0</v>
      </c>
    </row>
    <row r="41" spans="1:9" ht="34.200000000000003" customHeight="1" thickTop="1" x14ac:dyDescent="0.3">
      <c r="A41" s="12"/>
      <c r="B41" s="12"/>
      <c r="C41" s="12"/>
      <c r="D41" s="12"/>
      <c r="E41" s="12"/>
      <c r="F41" s="12"/>
      <c r="G41" s="12"/>
      <c r="H41" s="12"/>
    </row>
    <row r="42" spans="1:9" ht="36" customHeight="1" x14ac:dyDescent="0.3">
      <c r="A42" s="651" t="s">
        <v>523</v>
      </c>
      <c r="B42" s="651"/>
      <c r="C42" s="651"/>
      <c r="D42" s="651"/>
      <c r="E42" s="651"/>
      <c r="F42" s="651"/>
      <c r="G42" s="651"/>
      <c r="H42" s="651"/>
      <c r="I42" s="44"/>
    </row>
    <row r="43" spans="1:9" ht="13.8" x14ac:dyDescent="0.3">
      <c r="A43" s="3"/>
      <c r="B43" s="3"/>
      <c r="C43" s="3"/>
      <c r="D43" s="3"/>
      <c r="E43" s="439" t="s">
        <v>519</v>
      </c>
      <c r="F43" s="218" t="s">
        <v>520</v>
      </c>
      <c r="G43" s="218" t="s">
        <v>521</v>
      </c>
      <c r="H43" s="437" t="s">
        <v>522</v>
      </c>
    </row>
    <row r="44" spans="1:9" ht="27.6" x14ac:dyDescent="0.3">
      <c r="E44" s="611" t="s">
        <v>551</v>
      </c>
      <c r="F44" s="396">
        <v>280</v>
      </c>
      <c r="G44" s="45"/>
      <c r="H44" s="46">
        <f>G44*F44</f>
        <v>0</v>
      </c>
    </row>
    <row r="45" spans="1:9" ht="27.6" x14ac:dyDescent="0.3">
      <c r="B45" s="47"/>
      <c r="C45" s="47"/>
      <c r="E45" s="611" t="s">
        <v>890</v>
      </c>
      <c r="F45" s="396">
        <v>435</v>
      </c>
      <c r="G45" s="45"/>
      <c r="H45" s="46">
        <f>G45*F45</f>
        <v>0</v>
      </c>
    </row>
    <row r="46" spans="1:9" ht="27.6" x14ac:dyDescent="0.3">
      <c r="E46" s="611" t="s">
        <v>552</v>
      </c>
      <c r="F46" s="396">
        <v>535</v>
      </c>
      <c r="G46" s="45"/>
      <c r="H46" s="46">
        <f>G46*F46</f>
        <v>0</v>
      </c>
    </row>
    <row r="47" spans="1:9" ht="14.4" thickBot="1" x14ac:dyDescent="0.35">
      <c r="D47" s="12"/>
      <c r="E47" s="125" t="s">
        <v>553</v>
      </c>
      <c r="F47" s="421">
        <v>930</v>
      </c>
      <c r="G47" s="48"/>
      <c r="H47" s="49">
        <f>G47*F47</f>
        <v>0</v>
      </c>
    </row>
    <row r="48" spans="1:9" s="57" customFormat="1" ht="18" customHeight="1" thickTop="1" thickBot="1" x14ac:dyDescent="0.3">
      <c r="A48" s="40"/>
      <c r="B48" s="40"/>
      <c r="C48" s="40"/>
      <c r="D48" s="42" t="s">
        <v>539</v>
      </c>
      <c r="E48" s="40"/>
      <c r="F48" s="41"/>
      <c r="G48" s="42"/>
      <c r="H48" s="43">
        <f>SUM(H44:H47)</f>
        <v>0</v>
      </c>
    </row>
    <row r="49" spans="1:9" ht="30" customHeight="1" thickTop="1" thickBot="1" x14ac:dyDescent="0.35">
      <c r="D49" s="29"/>
      <c r="E49" s="58"/>
      <c r="F49" s="59"/>
      <c r="G49" s="29"/>
      <c r="H49" s="29"/>
    </row>
    <row r="50" spans="1:9" ht="30" customHeight="1" thickBot="1" x14ac:dyDescent="0.35">
      <c r="A50" s="60"/>
      <c r="B50" s="60"/>
      <c r="C50" s="60"/>
      <c r="D50" s="347" t="s">
        <v>541</v>
      </c>
      <c r="E50" s="60"/>
      <c r="F50" s="63"/>
      <c r="G50" s="64"/>
      <c r="H50" s="65">
        <f>H48+H40+H21</f>
        <v>0</v>
      </c>
      <c r="I50" s="44"/>
    </row>
    <row r="51" spans="1:9" ht="24.6" customHeight="1" x14ac:dyDescent="0.3">
      <c r="A51" s="12"/>
      <c r="B51" s="12"/>
      <c r="C51" s="12"/>
      <c r="D51" s="12"/>
      <c r="E51" s="12"/>
      <c r="F51" s="12"/>
      <c r="G51" s="12"/>
      <c r="H51" s="12"/>
      <c r="I51" s="44"/>
    </row>
    <row r="52" spans="1:9" ht="36" customHeight="1" thickBot="1" x14ac:dyDescent="0.35">
      <c r="A52" s="651" t="s">
        <v>525</v>
      </c>
      <c r="B52" s="651"/>
      <c r="C52" s="651"/>
      <c r="D52" s="651"/>
      <c r="E52" s="651"/>
      <c r="F52" s="651"/>
      <c r="G52" s="651"/>
      <c r="H52" s="651"/>
      <c r="I52" s="44"/>
    </row>
    <row r="53" spans="1:9" ht="30" customHeight="1" thickBot="1" x14ac:dyDescent="0.35">
      <c r="A53" s="66"/>
      <c r="B53" s="51"/>
      <c r="C53" s="67"/>
      <c r="D53" s="649" t="s">
        <v>526</v>
      </c>
      <c r="E53" s="650"/>
      <c r="F53" s="68"/>
      <c r="G53" s="51"/>
      <c r="H53" s="51"/>
    </row>
    <row r="54" spans="1:9" ht="30" customHeight="1" x14ac:dyDescent="0.3">
      <c r="A54" s="66"/>
      <c r="B54" s="12"/>
      <c r="C54" s="69"/>
      <c r="D54" s="605" t="s">
        <v>527</v>
      </c>
      <c r="E54" s="12"/>
      <c r="F54" s="59"/>
      <c r="G54" s="29"/>
      <c r="H54" s="29"/>
    </row>
    <row r="55" spans="1:9" ht="15.6" customHeight="1" thickBot="1" x14ac:dyDescent="0.35">
      <c r="A55" s="66"/>
      <c r="B55" s="12"/>
      <c r="C55" s="69"/>
      <c r="D55" s="357"/>
      <c r="E55" s="12"/>
      <c r="F55" s="59"/>
      <c r="G55" s="29"/>
      <c r="H55" s="29"/>
    </row>
    <row r="56" spans="1:9" ht="16.2" thickBot="1" x14ac:dyDescent="0.35">
      <c r="A56" s="66"/>
      <c r="B56" s="70"/>
      <c r="C56" s="69"/>
      <c r="D56" s="641" t="s">
        <v>528</v>
      </c>
      <c r="E56" s="12"/>
      <c r="F56" s="59"/>
      <c r="G56" s="29"/>
      <c r="H56" s="29"/>
    </row>
    <row r="57" spans="1:9" ht="24.6" thickBot="1" x14ac:dyDescent="0.35">
      <c r="A57" s="71"/>
      <c r="D57" s="444" t="s">
        <v>532</v>
      </c>
      <c r="E57" s="72" t="s">
        <v>530</v>
      </c>
      <c r="F57" s="73"/>
      <c r="G57" s="74"/>
      <c r="H57" s="75"/>
      <c r="I57" s="44"/>
    </row>
    <row r="58" spans="1:9" ht="13.8" x14ac:dyDescent="0.3">
      <c r="D58" s="76"/>
      <c r="E58" s="440" t="s">
        <v>555</v>
      </c>
      <c r="F58" s="77">
        <v>18</v>
      </c>
      <c r="G58" s="78">
        <f>IF(E57="Yes",SUM(G25:G32),0)</f>
        <v>0</v>
      </c>
      <c r="H58" s="79">
        <f>G58*F58</f>
        <v>0</v>
      </c>
      <c r="I58" s="44"/>
    </row>
    <row r="59" spans="1:9" ht="13.8" x14ac:dyDescent="0.3">
      <c r="D59" s="76"/>
      <c r="E59" s="441" t="s">
        <v>554</v>
      </c>
      <c r="F59" s="77">
        <v>25</v>
      </c>
      <c r="G59" s="78">
        <f>IF(E57="Yes",SUM(G16+G44),0)</f>
        <v>0</v>
      </c>
      <c r="H59" s="79">
        <f>G59*F59</f>
        <v>0</v>
      </c>
      <c r="I59" s="44"/>
    </row>
    <row r="60" spans="1:9" ht="14.4" thickBot="1" x14ac:dyDescent="0.35">
      <c r="D60" s="80"/>
      <c r="E60" s="442" t="s">
        <v>236</v>
      </c>
      <c r="F60" s="81">
        <v>59</v>
      </c>
      <c r="G60" s="82">
        <f>IF(E57="Yes",G4+G5+G6+G9+G10+G11+G15+G33+G34+G45+G46+(2*G47),0)</f>
        <v>0</v>
      </c>
      <c r="H60" s="83">
        <f>G60*F60</f>
        <v>0</v>
      </c>
      <c r="I60" s="44"/>
    </row>
    <row r="61" spans="1:9" ht="14.4" customHeight="1" thickBot="1" x14ac:dyDescent="0.35">
      <c r="C61" s="51"/>
      <c r="D61" s="29"/>
      <c r="E61" s="84"/>
      <c r="F61" s="85"/>
      <c r="G61" s="86"/>
      <c r="H61" s="87"/>
    </row>
    <row r="62" spans="1:9" ht="16.2" thickBot="1" x14ac:dyDescent="0.35">
      <c r="B62" s="13"/>
      <c r="C62" s="13"/>
      <c r="D62" s="641" t="s">
        <v>529</v>
      </c>
      <c r="E62" s="619"/>
      <c r="F62" s="94" t="str">
        <f>IF(AND($E$57="Yes",SUM(G63:G66)&gt;0),"Beware: Please choose Alternative A or Alternative B, not both","")</f>
        <v/>
      </c>
      <c r="G62" s="86"/>
      <c r="H62" s="88"/>
      <c r="I62" s="44"/>
    </row>
    <row r="63" spans="1:9" ht="27.6" x14ac:dyDescent="0.3">
      <c r="D63" s="445" t="s">
        <v>531</v>
      </c>
      <c r="E63" s="443" t="s">
        <v>555</v>
      </c>
      <c r="F63" s="89">
        <v>18</v>
      </c>
      <c r="G63" s="90">
        <v>0</v>
      </c>
      <c r="H63" s="91">
        <f>F63*G63</f>
        <v>0</v>
      </c>
      <c r="I63" s="92"/>
    </row>
    <row r="64" spans="1:9" ht="15.6" x14ac:dyDescent="0.3">
      <c r="D64" s="76"/>
      <c r="E64" s="441" t="s">
        <v>554</v>
      </c>
      <c r="F64" s="77">
        <v>25</v>
      </c>
      <c r="G64" s="93">
        <v>0</v>
      </c>
      <c r="H64" s="79">
        <f>G64*F64</f>
        <v>0</v>
      </c>
      <c r="I64" s="94"/>
    </row>
    <row r="65" spans="1:9" ht="15.6" x14ac:dyDescent="0.3">
      <c r="D65" s="76"/>
      <c r="E65" s="441" t="s">
        <v>236</v>
      </c>
      <c r="F65" s="77">
        <v>59</v>
      </c>
      <c r="G65" s="93">
        <v>0</v>
      </c>
      <c r="H65" s="79">
        <f>G65*F65</f>
        <v>0</v>
      </c>
      <c r="I65" s="92"/>
    </row>
    <row r="66" spans="1:9" ht="16.2" thickBot="1" x14ac:dyDescent="0.35">
      <c r="D66" s="80"/>
      <c r="E66" s="442" t="s">
        <v>556</v>
      </c>
      <c r="F66" s="81">
        <v>28</v>
      </c>
      <c r="G66" s="588">
        <v>0</v>
      </c>
      <c r="H66" s="83">
        <f>G66*F66</f>
        <v>0</v>
      </c>
      <c r="I66" s="92"/>
    </row>
    <row r="67" spans="1:9" ht="30" customHeight="1" thickBot="1" x14ac:dyDescent="0.35">
      <c r="D67" s="29"/>
      <c r="E67" s="84"/>
      <c r="F67" s="85"/>
      <c r="G67" s="86"/>
      <c r="H67" s="87"/>
    </row>
    <row r="68" spans="1:9" ht="30" customHeight="1" thickBot="1" x14ac:dyDescent="0.35">
      <c r="A68" s="60"/>
      <c r="B68" s="95"/>
      <c r="C68" s="95"/>
      <c r="D68" s="606" t="s">
        <v>533</v>
      </c>
      <c r="E68" s="95"/>
      <c r="F68" s="96"/>
      <c r="G68" s="97"/>
      <c r="H68" s="65">
        <f>IF(E57="Yes",SUM(H58:H60),SUM(H63:H66))</f>
        <v>0</v>
      </c>
      <c r="I68" s="44"/>
    </row>
    <row r="69" spans="1:9" ht="13.8" x14ac:dyDescent="0.3">
      <c r="D69" s="51"/>
      <c r="E69" s="51"/>
      <c r="F69" s="68"/>
      <c r="G69" s="51"/>
      <c r="H69" s="51"/>
    </row>
    <row r="70" spans="1:9" ht="13.8" x14ac:dyDescent="0.3">
      <c r="E70" s="6"/>
      <c r="F70" s="100"/>
      <c r="G70" s="32"/>
      <c r="H70" s="32"/>
      <c r="I70" s="101"/>
    </row>
    <row r="71" spans="1:9" ht="13.8" x14ac:dyDescent="0.3"/>
    <row r="72" spans="1:9" ht="13.8" x14ac:dyDescent="0.3"/>
    <row r="73" spans="1:9" ht="13.8" x14ac:dyDescent="0.3"/>
    <row r="74" spans="1:9" ht="13.8" x14ac:dyDescent="0.3"/>
    <row r="75" spans="1:9" ht="13.8" x14ac:dyDescent="0.3"/>
    <row r="76" spans="1:9" ht="13.8" x14ac:dyDescent="0.3"/>
    <row r="77" spans="1:9" ht="45" customHeight="1" thickBot="1" x14ac:dyDescent="0.35">
      <c r="A77" s="103" t="s">
        <v>534</v>
      </c>
      <c r="B77" s="104"/>
      <c r="C77" s="104"/>
      <c r="D77" s="105"/>
      <c r="E77" s="106"/>
      <c r="F77" s="107"/>
      <c r="G77" s="105"/>
      <c r="H77" s="105"/>
    </row>
    <row r="78" spans="1:9" ht="13.95" customHeight="1" thickBot="1" x14ac:dyDescent="0.35">
      <c r="D78" s="358" t="s">
        <v>535</v>
      </c>
      <c r="E78" s="359" t="s">
        <v>536</v>
      </c>
      <c r="F78" s="218" t="s">
        <v>520</v>
      </c>
      <c r="G78" s="218" t="s">
        <v>521</v>
      </c>
      <c r="H78" s="437" t="s">
        <v>522</v>
      </c>
      <c r="I78" s="44"/>
    </row>
    <row r="79" spans="1:9" ht="13.8" x14ac:dyDescent="0.3">
      <c r="D79" s="113" t="s">
        <v>358</v>
      </c>
      <c r="E79" s="110" t="s">
        <v>359</v>
      </c>
      <c r="F79" s="33">
        <v>450</v>
      </c>
      <c r="G79" s="111">
        <f>G4</f>
        <v>0</v>
      </c>
      <c r="H79" s="112">
        <f>F79*G79</f>
        <v>0</v>
      </c>
      <c r="I79" s="44"/>
    </row>
    <row r="80" spans="1:9" ht="13.95" customHeight="1" x14ac:dyDescent="0.3">
      <c r="D80" s="113" t="s">
        <v>361</v>
      </c>
      <c r="E80" s="115" t="s">
        <v>360</v>
      </c>
      <c r="F80" s="9">
        <v>450</v>
      </c>
      <c r="G80" s="116">
        <f>G5</f>
        <v>0</v>
      </c>
      <c r="H80" s="117">
        <f t="shared" ref="H80:H86" si="5">G80*F80</f>
        <v>0</v>
      </c>
      <c r="I80" s="44"/>
    </row>
    <row r="81" spans="1:9" ht="13.8" x14ac:dyDescent="0.3">
      <c r="D81" s="118" t="s">
        <v>363</v>
      </c>
      <c r="E81" s="115" t="s">
        <v>362</v>
      </c>
      <c r="F81" s="9">
        <v>750</v>
      </c>
      <c r="G81" s="116">
        <f>G6</f>
        <v>0</v>
      </c>
      <c r="H81" s="117">
        <f>G81*F81</f>
        <v>0</v>
      </c>
      <c r="I81" s="44"/>
    </row>
    <row r="82" spans="1:9" ht="13.8" x14ac:dyDescent="0.3">
      <c r="A82" s="51"/>
      <c r="B82" s="51"/>
      <c r="C82" s="51"/>
      <c r="D82" s="108" t="s">
        <v>365</v>
      </c>
      <c r="E82" s="115" t="s">
        <v>364</v>
      </c>
      <c r="F82" s="33">
        <v>1750</v>
      </c>
      <c r="G82" s="116">
        <f>G9</f>
        <v>0</v>
      </c>
      <c r="H82" s="112">
        <f t="shared" si="5"/>
        <v>0</v>
      </c>
      <c r="I82" s="44"/>
    </row>
    <row r="83" spans="1:9" ht="13.8" x14ac:dyDescent="0.3">
      <c r="D83" s="113" t="s">
        <v>232</v>
      </c>
      <c r="E83" s="115" t="s">
        <v>341</v>
      </c>
      <c r="F83" s="9">
        <v>4800</v>
      </c>
      <c r="G83" s="116">
        <f>G10</f>
        <v>0</v>
      </c>
      <c r="H83" s="117">
        <f t="shared" si="5"/>
        <v>0</v>
      </c>
      <c r="I83" s="44"/>
    </row>
    <row r="84" spans="1:9" ht="13.8" x14ac:dyDescent="0.3">
      <c r="A84" s="12"/>
      <c r="B84" s="12"/>
      <c r="C84" s="12"/>
      <c r="D84" s="118" t="s">
        <v>367</v>
      </c>
      <c r="E84" s="115" t="s">
        <v>366</v>
      </c>
      <c r="F84" s="16">
        <v>1400</v>
      </c>
      <c r="G84" s="116">
        <f>G11</f>
        <v>0</v>
      </c>
      <c r="H84" s="120">
        <f t="shared" si="5"/>
        <v>0</v>
      </c>
      <c r="I84" s="44"/>
    </row>
    <row r="85" spans="1:9" ht="13.8" x14ac:dyDescent="0.3">
      <c r="A85" s="12"/>
      <c r="B85" s="12"/>
      <c r="C85" s="12"/>
      <c r="D85" s="113" t="s">
        <v>369</v>
      </c>
      <c r="E85" s="115" t="s">
        <v>368</v>
      </c>
      <c r="F85" s="9">
        <v>490</v>
      </c>
      <c r="G85" s="116">
        <f>G15</f>
        <v>0</v>
      </c>
      <c r="H85" s="117">
        <f t="shared" si="5"/>
        <v>0</v>
      </c>
      <c r="I85" s="44"/>
    </row>
    <row r="86" spans="1:9" ht="13.8" x14ac:dyDescent="0.3">
      <c r="A86" s="12"/>
      <c r="B86" s="12"/>
      <c r="C86" s="12"/>
      <c r="D86" s="123" t="s">
        <v>233</v>
      </c>
      <c r="E86" s="115" t="s">
        <v>509</v>
      </c>
      <c r="F86" s="9">
        <v>535</v>
      </c>
      <c r="G86" s="116">
        <f>G16</f>
        <v>0</v>
      </c>
      <c r="H86" s="117">
        <f t="shared" si="5"/>
        <v>0</v>
      </c>
      <c r="I86" s="44"/>
    </row>
    <row r="87" spans="1:9" ht="13.8" x14ac:dyDescent="0.3">
      <c r="D87" s="113" t="s">
        <v>229</v>
      </c>
      <c r="E87" s="586" t="s">
        <v>548</v>
      </c>
      <c r="F87" s="9">
        <v>700</v>
      </c>
      <c r="G87" s="116">
        <f>G12+G19</f>
        <v>0</v>
      </c>
      <c r="H87" s="117">
        <f t="shared" ref="H87:H90" si="6">G87*F87</f>
        <v>0</v>
      </c>
      <c r="I87" s="44"/>
    </row>
    <row r="88" spans="1:9" ht="13.8" x14ac:dyDescent="0.3">
      <c r="D88" s="113" t="s">
        <v>231</v>
      </c>
      <c r="E88" s="586" t="s">
        <v>549</v>
      </c>
      <c r="F88" s="9">
        <v>50</v>
      </c>
      <c r="G88" s="116">
        <f>G7+G13+G20</f>
        <v>0</v>
      </c>
      <c r="H88" s="117">
        <f t="shared" si="6"/>
        <v>0</v>
      </c>
      <c r="I88" s="44"/>
    </row>
    <row r="89" spans="1:9" ht="27.6" x14ac:dyDescent="0.3">
      <c r="D89" s="113" t="s">
        <v>230</v>
      </c>
      <c r="E89" s="586" t="s">
        <v>550</v>
      </c>
      <c r="F89" s="9">
        <v>30</v>
      </c>
      <c r="G89" s="116">
        <f>G8+G14+G18</f>
        <v>0</v>
      </c>
      <c r="H89" s="117">
        <f t="shared" si="6"/>
        <v>0</v>
      </c>
      <c r="I89" s="44"/>
    </row>
    <row r="90" spans="1:9" ht="13.8" x14ac:dyDescent="0.3">
      <c r="D90" s="113" t="s">
        <v>234</v>
      </c>
      <c r="E90" s="115" t="s">
        <v>342</v>
      </c>
      <c r="F90" s="9">
        <v>85</v>
      </c>
      <c r="G90" s="116">
        <f>G17</f>
        <v>0</v>
      </c>
      <c r="H90" s="117">
        <f t="shared" si="6"/>
        <v>0</v>
      </c>
      <c r="I90" s="44"/>
    </row>
    <row r="91" spans="1:9" ht="13.8" x14ac:dyDescent="0.3">
      <c r="D91" s="113" t="s">
        <v>219</v>
      </c>
      <c r="E91" s="115" t="s">
        <v>587</v>
      </c>
      <c r="F91" s="33">
        <v>199</v>
      </c>
      <c r="G91" s="116">
        <f t="shared" ref="G91:G105" si="7">G25</f>
        <v>0</v>
      </c>
      <c r="H91" s="117">
        <f t="shared" ref="H91:H102" si="8">G91*F91</f>
        <v>0</v>
      </c>
      <c r="I91" s="44"/>
    </row>
    <row r="92" spans="1:9" ht="13.8" x14ac:dyDescent="0.3">
      <c r="D92" s="113" t="s">
        <v>220</v>
      </c>
      <c r="E92" s="115" t="s">
        <v>589</v>
      </c>
      <c r="F92" s="33">
        <v>229</v>
      </c>
      <c r="G92" s="116">
        <f t="shared" si="7"/>
        <v>0</v>
      </c>
      <c r="H92" s="117">
        <f t="shared" si="8"/>
        <v>0</v>
      </c>
      <c r="I92" s="44"/>
    </row>
    <row r="93" spans="1:9" ht="13.8" x14ac:dyDescent="0.3">
      <c r="D93" s="113" t="s">
        <v>221</v>
      </c>
      <c r="E93" s="115" t="s">
        <v>588</v>
      </c>
      <c r="F93" s="33">
        <v>254</v>
      </c>
      <c r="G93" s="116">
        <f t="shared" si="7"/>
        <v>0</v>
      </c>
      <c r="H93" s="117">
        <f t="shared" si="8"/>
        <v>0</v>
      </c>
      <c r="I93" s="44"/>
    </row>
    <row r="94" spans="1:9" ht="13.8" x14ac:dyDescent="0.3">
      <c r="C94" s="47"/>
      <c r="D94" s="113" t="s">
        <v>222</v>
      </c>
      <c r="E94" s="115" t="s">
        <v>590</v>
      </c>
      <c r="F94" s="33">
        <v>278</v>
      </c>
      <c r="G94" s="116">
        <f t="shared" si="7"/>
        <v>0</v>
      </c>
      <c r="H94" s="117">
        <f t="shared" si="8"/>
        <v>0</v>
      </c>
      <c r="I94" s="44"/>
    </row>
    <row r="95" spans="1:9" ht="13.8" x14ac:dyDescent="0.3">
      <c r="B95" s="13"/>
      <c r="C95" s="47"/>
      <c r="D95" s="118" t="s">
        <v>323</v>
      </c>
      <c r="E95" s="115" t="s">
        <v>562</v>
      </c>
      <c r="F95" s="33">
        <v>99</v>
      </c>
      <c r="G95" s="349">
        <f t="shared" si="7"/>
        <v>0</v>
      </c>
      <c r="H95" s="350">
        <f t="shared" ref="H95" si="9">G95*F95</f>
        <v>0</v>
      </c>
      <c r="I95" s="44"/>
    </row>
    <row r="96" spans="1:9" ht="13.8" x14ac:dyDescent="0.3">
      <c r="B96" s="13"/>
      <c r="C96" s="47"/>
      <c r="D96" s="118" t="s">
        <v>350</v>
      </c>
      <c r="E96" s="115" t="s">
        <v>563</v>
      </c>
      <c r="F96" s="33">
        <v>143</v>
      </c>
      <c r="G96" s="349">
        <f t="shared" si="7"/>
        <v>0</v>
      </c>
      <c r="H96" s="350">
        <f>G96*F96</f>
        <v>0</v>
      </c>
      <c r="I96" s="44"/>
    </row>
    <row r="97" spans="1:9" ht="13.8" x14ac:dyDescent="0.3">
      <c r="B97" s="47"/>
      <c r="C97" s="47"/>
      <c r="D97" s="113" t="s">
        <v>223</v>
      </c>
      <c r="E97" s="115" t="s">
        <v>564</v>
      </c>
      <c r="F97" s="33">
        <v>180</v>
      </c>
      <c r="G97" s="116">
        <f t="shared" si="7"/>
        <v>0</v>
      </c>
      <c r="H97" s="117">
        <f t="shared" si="8"/>
        <v>0</v>
      </c>
      <c r="I97" s="44"/>
    </row>
    <row r="98" spans="1:9" ht="13.8" x14ac:dyDescent="0.3">
      <c r="D98" s="113" t="s">
        <v>224</v>
      </c>
      <c r="E98" s="115" t="s">
        <v>565</v>
      </c>
      <c r="F98" s="33">
        <v>239</v>
      </c>
      <c r="G98" s="116">
        <f t="shared" si="7"/>
        <v>0</v>
      </c>
      <c r="H98" s="117">
        <f t="shared" si="8"/>
        <v>0</v>
      </c>
      <c r="I98" s="44"/>
    </row>
    <row r="99" spans="1:9" ht="13.8" x14ac:dyDescent="0.3">
      <c r="D99" s="113" t="s">
        <v>217</v>
      </c>
      <c r="E99" s="115" t="s">
        <v>566</v>
      </c>
      <c r="F99" s="33">
        <v>825</v>
      </c>
      <c r="G99" s="116">
        <f t="shared" si="7"/>
        <v>0</v>
      </c>
      <c r="H99" s="117">
        <f t="shared" si="8"/>
        <v>0</v>
      </c>
      <c r="I99" s="44"/>
    </row>
    <row r="100" spans="1:9" ht="13.8" x14ac:dyDescent="0.3">
      <c r="D100" s="113" t="s">
        <v>218</v>
      </c>
      <c r="E100" s="124" t="s">
        <v>591</v>
      </c>
      <c r="F100" s="33">
        <v>1990</v>
      </c>
      <c r="G100" s="116">
        <f t="shared" si="7"/>
        <v>0</v>
      </c>
      <c r="H100" s="117">
        <f t="shared" si="8"/>
        <v>0</v>
      </c>
      <c r="I100" s="44"/>
    </row>
    <row r="101" spans="1:9" ht="13.8" x14ac:dyDescent="0.3">
      <c r="A101" s="51"/>
      <c r="B101" s="51"/>
      <c r="C101" s="51"/>
      <c r="D101" s="113" t="s">
        <v>324</v>
      </c>
      <c r="E101" s="115" t="s">
        <v>573</v>
      </c>
      <c r="F101" s="33">
        <v>175</v>
      </c>
      <c r="G101" s="116">
        <f t="shared" si="7"/>
        <v>0</v>
      </c>
      <c r="H101" s="112">
        <f t="shared" si="8"/>
        <v>0</v>
      </c>
      <c r="I101" s="44"/>
    </row>
    <row r="102" spans="1:9" ht="13.8" x14ac:dyDescent="0.3">
      <c r="A102" s="51"/>
      <c r="B102" s="51"/>
      <c r="C102" s="51"/>
      <c r="D102" s="113" t="s">
        <v>325</v>
      </c>
      <c r="E102" s="115" t="s">
        <v>574</v>
      </c>
      <c r="F102" s="33">
        <v>195</v>
      </c>
      <c r="G102" s="116">
        <f t="shared" si="7"/>
        <v>0</v>
      </c>
      <c r="H102" s="112">
        <f t="shared" si="8"/>
        <v>0</v>
      </c>
      <c r="I102" s="44"/>
    </row>
    <row r="103" spans="1:9" ht="27.6" x14ac:dyDescent="0.3">
      <c r="A103" s="51"/>
      <c r="B103" s="51"/>
      <c r="C103" s="51"/>
      <c r="D103" s="113" t="s">
        <v>354</v>
      </c>
      <c r="E103" s="115" t="s">
        <v>575</v>
      </c>
      <c r="F103" s="33">
        <v>25</v>
      </c>
      <c r="G103" s="116">
        <f t="shared" si="7"/>
        <v>0</v>
      </c>
      <c r="H103" s="112">
        <f t="shared" ref="H103" si="10">G103*F103</f>
        <v>0</v>
      </c>
      <c r="I103" s="44"/>
    </row>
    <row r="104" spans="1:9" ht="27.6" x14ac:dyDescent="0.3">
      <c r="A104" s="51"/>
      <c r="B104" s="51"/>
      <c r="C104" s="51"/>
      <c r="D104" s="113" t="s">
        <v>355</v>
      </c>
      <c r="E104" s="115" t="s">
        <v>576</v>
      </c>
      <c r="F104" s="33">
        <v>50</v>
      </c>
      <c r="G104" s="116">
        <f t="shared" si="7"/>
        <v>0</v>
      </c>
      <c r="H104" s="112">
        <f>G104*F104</f>
        <v>0</v>
      </c>
      <c r="I104" s="44"/>
    </row>
    <row r="105" spans="1:9" ht="27.6" x14ac:dyDescent="0.3">
      <c r="A105" s="51"/>
      <c r="B105" s="51"/>
      <c r="C105" s="51"/>
      <c r="D105" s="108" t="s">
        <v>225</v>
      </c>
      <c r="E105" s="610" t="s">
        <v>572</v>
      </c>
      <c r="F105" s="33">
        <v>99</v>
      </c>
      <c r="G105" s="116">
        <f t="shared" si="7"/>
        <v>0</v>
      </c>
      <c r="H105" s="112">
        <f t="shared" ref="H105:H109" si="11">G105*F105</f>
        <v>0</v>
      </c>
      <c r="I105" s="44"/>
    </row>
    <row r="106" spans="1:9" ht="13.8" x14ac:dyDescent="0.3">
      <c r="D106" s="113" t="s">
        <v>163</v>
      </c>
      <c r="E106" s="115" t="s">
        <v>592</v>
      </c>
      <c r="F106" s="33">
        <v>280</v>
      </c>
      <c r="G106" s="116">
        <f>G44</f>
        <v>0</v>
      </c>
      <c r="H106" s="117">
        <f t="shared" si="11"/>
        <v>0</v>
      </c>
      <c r="I106" s="44"/>
    </row>
    <row r="107" spans="1:9" ht="13.8" x14ac:dyDescent="0.3">
      <c r="D107" s="113" t="s">
        <v>892</v>
      </c>
      <c r="E107" s="115" t="s">
        <v>891</v>
      </c>
      <c r="F107" s="33">
        <v>435</v>
      </c>
      <c r="G107" s="116">
        <f>G45</f>
        <v>0</v>
      </c>
      <c r="H107" s="117">
        <f t="shared" si="11"/>
        <v>0</v>
      </c>
      <c r="I107" s="44"/>
    </row>
    <row r="108" spans="1:9" ht="13.8" x14ac:dyDescent="0.3">
      <c r="D108" s="113" t="s">
        <v>352</v>
      </c>
      <c r="E108" s="115" t="s">
        <v>593</v>
      </c>
      <c r="F108" s="33">
        <v>535</v>
      </c>
      <c r="G108" s="116">
        <f>G46</f>
        <v>0</v>
      </c>
      <c r="H108" s="117">
        <f t="shared" si="11"/>
        <v>0</v>
      </c>
      <c r="I108" s="44"/>
    </row>
    <row r="109" spans="1:9" ht="13.8" x14ac:dyDescent="0.3">
      <c r="D109" s="113" t="s">
        <v>353</v>
      </c>
      <c r="E109" s="125" t="s">
        <v>553</v>
      </c>
      <c r="F109" s="33">
        <v>930</v>
      </c>
      <c r="G109" s="116">
        <f>G47</f>
        <v>0</v>
      </c>
      <c r="H109" s="120">
        <f t="shared" si="11"/>
        <v>0</v>
      </c>
      <c r="I109" s="44"/>
    </row>
    <row r="110" spans="1:9" ht="15.6" x14ac:dyDescent="0.3">
      <c r="D110" s="113" t="s">
        <v>226</v>
      </c>
      <c r="E110" s="125" t="s">
        <v>555</v>
      </c>
      <c r="F110" s="33">
        <v>18</v>
      </c>
      <c r="G110" s="349">
        <f>IF(E57="Yes",G58,G63)</f>
        <v>0</v>
      </c>
      <c r="H110" s="351">
        <f>G110*F110</f>
        <v>0</v>
      </c>
      <c r="I110" s="127"/>
    </row>
    <row r="111" spans="1:9" ht="13.8" x14ac:dyDescent="0.3">
      <c r="D111" s="113" t="s">
        <v>228</v>
      </c>
      <c r="E111" s="125" t="s">
        <v>554</v>
      </c>
      <c r="F111" s="33">
        <v>25</v>
      </c>
      <c r="G111" s="349">
        <f>IF(E57="Yes",G59,G64)</f>
        <v>0</v>
      </c>
      <c r="H111" s="351">
        <f>G111*F111</f>
        <v>0</v>
      </c>
      <c r="I111" s="128"/>
    </row>
    <row r="112" spans="1:9" ht="13.8" x14ac:dyDescent="0.3">
      <c r="D112" s="113" t="s">
        <v>235</v>
      </c>
      <c r="E112" s="125" t="s">
        <v>236</v>
      </c>
      <c r="F112" s="33">
        <v>59</v>
      </c>
      <c r="G112" s="349">
        <f>IF(E57="Yes",G60,G65)</f>
        <v>0</v>
      </c>
      <c r="H112" s="351">
        <f>G112*F112</f>
        <v>0</v>
      </c>
      <c r="I112" s="128"/>
    </row>
    <row r="113" spans="4:9" ht="14.4" thickBot="1" x14ac:dyDescent="0.35">
      <c r="D113" s="118" t="s">
        <v>227</v>
      </c>
      <c r="E113" s="125" t="s">
        <v>594</v>
      </c>
      <c r="F113" s="325">
        <v>28</v>
      </c>
      <c r="G113" s="349">
        <f>IF(E57="Yes",0,G66)</f>
        <v>0</v>
      </c>
      <c r="H113" s="350">
        <f>G113*F113</f>
        <v>0</v>
      </c>
      <c r="I113" s="128"/>
    </row>
    <row r="114" spans="4:9" ht="30" customHeight="1" thickBot="1" x14ac:dyDescent="0.35">
      <c r="D114" s="331" t="s">
        <v>537</v>
      </c>
      <c r="E114" s="327"/>
      <c r="F114" s="328"/>
      <c r="G114" s="329"/>
      <c r="H114" s="330">
        <f>SUM(H79:H113)</f>
        <v>0</v>
      </c>
    </row>
    <row r="285" spans="5:11" ht="15.6" customHeight="1" x14ac:dyDescent="0.3">
      <c r="E285" s="5"/>
      <c r="F285" s="5"/>
      <c r="I285" s="98" t="s">
        <v>538</v>
      </c>
      <c r="J285" s="98" t="s">
        <v>530</v>
      </c>
      <c r="K285" s="98"/>
    </row>
  </sheetData>
  <sheetProtection password="EE20" sheet="1" objects="1" scenarios="1"/>
  <mergeCells count="5">
    <mergeCell ref="D53:E53"/>
    <mergeCell ref="A2:H2"/>
    <mergeCell ref="A23:H23"/>
    <mergeCell ref="A42:H42"/>
    <mergeCell ref="A52:H52"/>
  </mergeCells>
  <phoneticPr fontId="1" type="noConversion"/>
  <dataValidations xWindow="1267" yWindow="438" count="3">
    <dataValidation type="list" allowBlank="1" showInputMessage="1" showErrorMessage="1" sqref="E57">
      <formula1>$H$285:$J$285</formula1>
    </dataValidation>
    <dataValidation allowBlank="1" showInputMessage="1" showErrorMessage="1" promptTitle="No Input needed" prompt="The amount is calculated automatically (depending on BRI interfaces)" sqref="G8"/>
    <dataValidation allowBlank="1" showInputMessage="1" showErrorMessage="1" promptTitle="No Input needed" prompt="The amount is calculated automatically (depending on BRI and PRI interfaces)" sqref="G14"/>
  </dataValidations>
  <pageMargins left="0.78740157480314965" right="0.78740157480314965" top="1.3779527559055118" bottom="0.98425196850393704" header="0.70866141732283472" footer="0.51181102362204722"/>
  <pageSetup paperSize="9" scale="86" orientation="portrait" r:id="rId1"/>
  <headerFooter alignWithMargins="0">
    <oddHeader>&amp;L&amp;16 &amp;K00-0291. VoIP Gateways, IP Phones, Analogue Adapters&amp;R&amp;G</oddHeader>
    <oddFooter>&amp;C&amp;8&amp;P</oddFooter>
  </headerFooter>
  <drawing r:id="rId2"/>
  <legacyDrawing r:id="rId3"/>
  <legacyDrawingHF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140"/>
  <sheetViews>
    <sheetView zoomScaleNormal="100" workbookViewId="0">
      <selection activeCell="C89" sqref="C89"/>
    </sheetView>
  </sheetViews>
  <sheetFormatPr baseColWidth="10" defaultColWidth="11.109375" defaultRowHeight="13.8" x14ac:dyDescent="0.3"/>
  <cols>
    <col min="1" max="1" width="33.6640625" style="5" customWidth="1"/>
    <col min="2" max="2" width="10.33203125" style="5" customWidth="1"/>
    <col min="3" max="3" width="15.5546875" style="98" customWidth="1"/>
    <col min="4" max="4" width="26.44140625" style="98" customWidth="1"/>
    <col min="5" max="5" width="37" style="98" customWidth="1"/>
    <col min="6" max="6" width="15.33203125" style="102" customWidth="1"/>
    <col min="7" max="7" width="10.6640625" style="5" customWidth="1"/>
    <col min="8" max="8" width="15.5546875" style="5" customWidth="1"/>
    <col min="9" max="9" width="11.109375" style="5"/>
    <col min="10" max="10" width="11.44140625" style="5" customWidth="1"/>
    <col min="11" max="11" width="20.5546875" style="5" customWidth="1"/>
    <col min="12" max="16384" width="11.109375" style="5"/>
  </cols>
  <sheetData>
    <row r="1" spans="1:13" ht="45" customHeight="1" x14ac:dyDescent="0.3">
      <c r="A1" s="283"/>
      <c r="B1" s="283"/>
      <c r="C1" s="283"/>
      <c r="D1" s="283"/>
      <c r="E1" s="283"/>
      <c r="F1" s="284"/>
      <c r="G1" s="284"/>
      <c r="H1" s="284"/>
      <c r="I1" s="284"/>
      <c r="J1" s="285"/>
      <c r="K1" s="57"/>
      <c r="L1" s="57"/>
      <c r="M1" s="57"/>
    </row>
    <row r="2" spans="1:13" s="2" customFormat="1" ht="36" customHeight="1" x14ac:dyDescent="0.25">
      <c r="A2" s="652" t="s">
        <v>595</v>
      </c>
      <c r="B2" s="653"/>
      <c r="C2" s="653"/>
      <c r="D2" s="653"/>
      <c r="E2" s="653"/>
      <c r="F2" s="654"/>
      <c r="G2" s="130"/>
      <c r="H2" s="130"/>
      <c r="I2" s="130"/>
      <c r="J2" s="130"/>
      <c r="K2" s="130"/>
      <c r="L2" s="57"/>
    </row>
    <row r="3" spans="1:13" s="57" customFormat="1" ht="17.399999999999999" customHeight="1" x14ac:dyDescent="0.25">
      <c r="C3" s="6"/>
      <c r="D3" s="8"/>
      <c r="E3" s="15"/>
      <c r="F3" s="129"/>
      <c r="G3" s="45"/>
      <c r="H3" s="130"/>
    </row>
    <row r="4" spans="1:13" s="57" customFormat="1" ht="18.600000000000001" thickBot="1" x14ac:dyDescent="0.3">
      <c r="B4" s="446"/>
      <c r="C4" s="616" t="s">
        <v>596</v>
      </c>
      <c r="D4" s="447"/>
      <c r="E4" s="448"/>
      <c r="F4" s="132"/>
      <c r="G4" s="45"/>
      <c r="H4" s="130"/>
    </row>
    <row r="5" spans="1:13" s="57" customFormat="1" ht="15.6" thickTop="1" thickBot="1" x14ac:dyDescent="0.3">
      <c r="A5" s="133"/>
      <c r="B5" s="449" t="s">
        <v>237</v>
      </c>
      <c r="C5" s="615" t="s">
        <v>597</v>
      </c>
      <c r="D5" s="115"/>
      <c r="E5" s="110"/>
      <c r="F5" s="134"/>
      <c r="G5" s="135"/>
      <c r="H5" s="130"/>
    </row>
    <row r="6" spans="1:13" s="57" customFormat="1" ht="16.2" thickBot="1" x14ac:dyDescent="0.3">
      <c r="A6" s="45"/>
      <c r="B6" s="126"/>
      <c r="C6" s="450"/>
      <c r="D6" s="115"/>
      <c r="E6" s="115"/>
      <c r="F6" s="136"/>
      <c r="G6" s="142" t="str">
        <f>IF(AND(F5&gt;0,SUM(F7:F10)&gt;0),"Beware: Please choose Alternative A or B!","")</f>
        <v/>
      </c>
      <c r="H6" s="137"/>
    </row>
    <row r="7" spans="1:13" s="57" customFormat="1" ht="15" thickBot="1" x14ac:dyDescent="0.3">
      <c r="A7" s="133"/>
      <c r="B7" s="449" t="s">
        <v>238</v>
      </c>
      <c r="C7" s="615" t="s">
        <v>598</v>
      </c>
      <c r="D7" s="115"/>
      <c r="E7" s="115"/>
      <c r="F7" s="138"/>
      <c r="G7" s="135"/>
      <c r="H7" s="130"/>
    </row>
    <row r="8" spans="1:13" s="57" customFormat="1" ht="14.4" x14ac:dyDescent="0.15">
      <c r="A8" s="14"/>
      <c r="B8" s="424"/>
      <c r="C8" s="614" t="s">
        <v>599</v>
      </c>
      <c r="D8" s="115"/>
      <c r="E8" s="115"/>
      <c r="F8" s="138"/>
      <c r="G8" s="135"/>
      <c r="H8" s="130"/>
    </row>
    <row r="9" spans="1:13" s="57" customFormat="1" ht="14.4" x14ac:dyDescent="0.25">
      <c r="B9" s="163"/>
      <c r="C9" s="614" t="s">
        <v>600</v>
      </c>
      <c r="D9" s="115"/>
      <c r="E9" s="115"/>
      <c r="F9" s="138"/>
      <c r="G9" s="135"/>
      <c r="H9" s="130"/>
    </row>
    <row r="10" spans="1:13" s="57" customFormat="1" ht="15" thickBot="1" x14ac:dyDescent="0.3">
      <c r="B10" s="446"/>
      <c r="C10" s="613" t="s">
        <v>601</v>
      </c>
      <c r="D10" s="124"/>
      <c r="E10" s="124"/>
      <c r="F10" s="139"/>
      <c r="G10" s="135"/>
      <c r="H10" s="130"/>
    </row>
    <row r="11" spans="1:13" s="57" customFormat="1" ht="16.8" thickTop="1" thickBot="1" x14ac:dyDescent="0.3">
      <c r="B11" s="452"/>
      <c r="C11" s="609" t="s">
        <v>602</v>
      </c>
      <c r="D11" s="453"/>
      <c r="E11" s="453"/>
      <c r="F11" s="322">
        <f>IF(F5&gt;0,F5,SUM(F7:F10))</f>
        <v>0</v>
      </c>
      <c r="G11" s="135"/>
      <c r="H11" s="130"/>
    </row>
    <row r="12" spans="1:13" s="57" customFormat="1" ht="30" customHeight="1" thickTop="1" x14ac:dyDescent="0.25">
      <c r="B12" s="163"/>
      <c r="C12" s="454"/>
      <c r="D12" s="115"/>
      <c r="E12" s="115"/>
      <c r="F12" s="140"/>
      <c r="G12" s="45"/>
      <c r="H12" s="130"/>
    </row>
    <row r="13" spans="1:13" s="57" customFormat="1" ht="14.4" x14ac:dyDescent="0.25">
      <c r="B13" s="163"/>
      <c r="C13" s="614" t="s">
        <v>603</v>
      </c>
      <c r="D13" s="115"/>
      <c r="E13" s="115"/>
      <c r="F13" s="319" t="s">
        <v>530</v>
      </c>
      <c r="G13" s="135"/>
      <c r="H13" s="130"/>
      <c r="K13" s="45"/>
      <c r="L13" s="45"/>
    </row>
    <row r="14" spans="1:13" s="57" customFormat="1" ht="14.4" x14ac:dyDescent="0.25">
      <c r="B14" s="163"/>
      <c r="C14" s="614" t="s">
        <v>604</v>
      </c>
      <c r="D14" s="115"/>
      <c r="E14" s="115"/>
      <c r="F14" s="319" t="s">
        <v>530</v>
      </c>
      <c r="G14" s="135"/>
      <c r="H14" s="130"/>
    </row>
    <row r="15" spans="1:13" s="57" customFormat="1" ht="30" customHeight="1" x14ac:dyDescent="0.25">
      <c r="B15" s="163"/>
      <c r="C15" s="455"/>
      <c r="D15" s="115"/>
      <c r="E15" s="115"/>
      <c r="F15" s="141"/>
      <c r="G15" s="45"/>
      <c r="H15" s="130"/>
    </row>
    <row r="16" spans="1:13" s="57" customFormat="1" ht="18" x14ac:dyDescent="0.25">
      <c r="B16" s="163"/>
      <c r="C16" s="179" t="s">
        <v>605</v>
      </c>
      <c r="D16" s="115"/>
      <c r="E16" s="142"/>
      <c r="F16" s="581"/>
      <c r="G16" s="45"/>
      <c r="H16" s="130"/>
    </row>
    <row r="17" spans="1:9" s="57" customFormat="1" ht="14.4" x14ac:dyDescent="0.15">
      <c r="A17" s="14"/>
      <c r="B17" s="424"/>
      <c r="C17" s="613" t="s">
        <v>612</v>
      </c>
      <c r="D17" s="456"/>
      <c r="E17" s="115"/>
      <c r="F17" s="143">
        <v>0</v>
      </c>
      <c r="G17" s="135"/>
      <c r="H17" s="130"/>
    </row>
    <row r="18" spans="1:9" s="57" customFormat="1" ht="14.4" x14ac:dyDescent="0.25">
      <c r="B18" s="163"/>
      <c r="C18" s="612" t="s">
        <v>613</v>
      </c>
      <c r="D18" s="456"/>
      <c r="E18" s="115"/>
      <c r="F18" s="143">
        <v>0</v>
      </c>
      <c r="G18" s="135"/>
      <c r="H18" s="130"/>
    </row>
    <row r="19" spans="1:9" s="57" customFormat="1" ht="15.6" x14ac:dyDescent="0.25">
      <c r="B19" s="163"/>
      <c r="C19" s="614" t="s">
        <v>614</v>
      </c>
      <c r="D19" s="456"/>
      <c r="E19" s="144"/>
      <c r="F19" s="143">
        <v>0</v>
      </c>
      <c r="G19" s="144" t="str">
        <f>IF($F$19&gt;$F$18,"Beware: Video is based on myPBX. Please consider!","")</f>
        <v/>
      </c>
      <c r="H19" s="144"/>
    </row>
    <row r="20" spans="1:9" s="57" customFormat="1" ht="14.4" x14ac:dyDescent="0.25">
      <c r="B20" s="163"/>
      <c r="C20" s="614" t="s">
        <v>615</v>
      </c>
      <c r="D20" s="456"/>
      <c r="E20" s="115"/>
      <c r="F20" s="143">
        <v>0</v>
      </c>
      <c r="G20" s="135"/>
      <c r="H20" s="130"/>
    </row>
    <row r="21" spans="1:9" s="57" customFormat="1" ht="14.4" x14ac:dyDescent="0.25">
      <c r="B21" s="163"/>
      <c r="C21" s="614" t="s">
        <v>616</v>
      </c>
      <c r="D21" s="456"/>
      <c r="E21" s="115"/>
      <c r="F21" s="143">
        <v>0</v>
      </c>
      <c r="G21" s="135"/>
      <c r="H21" s="130"/>
      <c r="I21" s="580"/>
    </row>
    <row r="22" spans="1:9" s="57" customFormat="1" ht="15.6" x14ac:dyDescent="0.25">
      <c r="B22" s="163"/>
      <c r="C22" s="614" t="s">
        <v>617</v>
      </c>
      <c r="D22" s="456"/>
      <c r="E22" s="115"/>
      <c r="F22" s="143">
        <v>0</v>
      </c>
      <c r="G22" s="144" t="str">
        <f>IF($F$22&gt;$F$18,"Beware: Application Sharing is based on myPBX. Please consider!","")</f>
        <v/>
      </c>
      <c r="H22" s="130"/>
      <c r="I22" s="580"/>
    </row>
    <row r="23" spans="1:9" s="57" customFormat="1" ht="14.4" x14ac:dyDescent="0.25">
      <c r="B23" s="163"/>
      <c r="C23" s="614" t="s">
        <v>618</v>
      </c>
      <c r="D23" s="456"/>
      <c r="E23" s="115"/>
      <c r="F23" s="143">
        <v>0</v>
      </c>
      <c r="G23" s="135"/>
      <c r="H23" s="130"/>
      <c r="I23" s="580"/>
    </row>
    <row r="24" spans="1:9" s="57" customFormat="1" ht="14.4" x14ac:dyDescent="0.25">
      <c r="B24" s="163"/>
      <c r="C24" s="451" t="s">
        <v>619</v>
      </c>
      <c r="D24" s="456"/>
      <c r="E24" s="115"/>
      <c r="F24" s="143">
        <v>0</v>
      </c>
      <c r="G24" s="135"/>
      <c r="H24" s="130"/>
      <c r="I24" s="580"/>
    </row>
    <row r="25" spans="1:9" s="57" customFormat="1" ht="30" customHeight="1" x14ac:dyDescent="0.25">
      <c r="B25" s="163"/>
      <c r="C25" s="455"/>
      <c r="D25" s="115"/>
      <c r="E25" s="115"/>
      <c r="F25" s="141"/>
      <c r="G25" s="45"/>
      <c r="H25" s="130"/>
      <c r="I25" s="580"/>
    </row>
    <row r="26" spans="1:9" s="57" customFormat="1" ht="18" x14ac:dyDescent="0.25">
      <c r="B26" s="163"/>
      <c r="C26" s="616" t="s">
        <v>606</v>
      </c>
      <c r="D26" s="115"/>
      <c r="E26" s="115"/>
      <c r="F26" s="129"/>
      <c r="G26" s="45"/>
      <c r="H26" s="130"/>
      <c r="I26" s="580"/>
    </row>
    <row r="27" spans="1:9" s="57" customFormat="1" ht="14.4" x14ac:dyDescent="0.25">
      <c r="B27" s="163"/>
      <c r="C27" s="614" t="s">
        <v>607</v>
      </c>
      <c r="D27" s="115"/>
      <c r="E27" s="115"/>
      <c r="F27" s="143">
        <v>0</v>
      </c>
      <c r="G27" s="135"/>
      <c r="H27" s="130"/>
    </row>
    <row r="28" spans="1:9" s="57" customFormat="1" ht="14.4" x14ac:dyDescent="0.25">
      <c r="B28" s="163"/>
      <c r="C28" s="614" t="s">
        <v>608</v>
      </c>
      <c r="D28" s="115"/>
      <c r="E28" s="115"/>
      <c r="F28" s="143">
        <v>0</v>
      </c>
      <c r="G28" s="135"/>
      <c r="H28" s="130"/>
    </row>
    <row r="29" spans="1:9" s="57" customFormat="1" ht="14.4" x14ac:dyDescent="0.25">
      <c r="A29" s="145"/>
      <c r="B29" s="163"/>
      <c r="C29" s="614" t="s">
        <v>609</v>
      </c>
      <c r="D29" s="115"/>
      <c r="E29" s="115"/>
      <c r="F29" s="143">
        <v>0</v>
      </c>
      <c r="G29" s="135"/>
      <c r="H29" s="130"/>
    </row>
    <row r="30" spans="1:9" s="57" customFormat="1" ht="15.6" x14ac:dyDescent="0.25">
      <c r="A30" s="145"/>
      <c r="B30" s="163"/>
      <c r="C30" s="614" t="s">
        <v>610</v>
      </c>
      <c r="D30" s="456"/>
      <c r="E30" s="115"/>
      <c r="F30" s="143">
        <v>0</v>
      </c>
      <c r="G30" s="144" t="str">
        <f>IF($F$31&gt;$F$30,"Beware: You need to have Reporting for Recording!","")</f>
        <v/>
      </c>
      <c r="H30" s="130"/>
    </row>
    <row r="31" spans="1:9" s="57" customFormat="1" ht="14.4" x14ac:dyDescent="0.25">
      <c r="A31" s="145"/>
      <c r="B31" s="163"/>
      <c r="C31" s="614" t="s">
        <v>611</v>
      </c>
      <c r="D31" s="456"/>
      <c r="E31" s="115"/>
      <c r="F31" s="143">
        <v>0</v>
      </c>
      <c r="G31" s="135"/>
      <c r="H31" s="130"/>
    </row>
    <row r="32" spans="1:9" s="57" customFormat="1" ht="30" customHeight="1" x14ac:dyDescent="0.25">
      <c r="B32" s="163"/>
      <c r="C32" s="455"/>
      <c r="D32" s="115"/>
      <c r="E32" s="115"/>
      <c r="F32" s="129"/>
      <c r="G32" s="45"/>
      <c r="H32" s="130"/>
    </row>
    <row r="33" spans="1:10" s="57" customFormat="1" ht="18" x14ac:dyDescent="0.25">
      <c r="B33" s="163"/>
      <c r="C33" s="616" t="s">
        <v>271</v>
      </c>
      <c r="D33" s="115"/>
      <c r="E33" s="115"/>
      <c r="F33" s="146"/>
      <c r="G33" s="45"/>
      <c r="H33" s="130"/>
    </row>
    <row r="34" spans="1:10" s="57" customFormat="1" ht="14.4" x14ac:dyDescent="0.3">
      <c r="A34" s="47"/>
      <c r="B34" s="163"/>
      <c r="C34" s="614" t="s">
        <v>626</v>
      </c>
      <c r="D34" s="115"/>
      <c r="E34" s="115"/>
      <c r="F34" s="320" t="s">
        <v>530</v>
      </c>
      <c r="G34" s="135"/>
      <c r="H34" s="130"/>
    </row>
    <row r="35" spans="1:10" s="57" customFormat="1" ht="14.4" x14ac:dyDescent="0.25">
      <c r="B35" s="163"/>
      <c r="C35" s="614" t="s">
        <v>627</v>
      </c>
      <c r="D35" s="115"/>
      <c r="E35" s="115"/>
      <c r="F35" s="321">
        <v>0</v>
      </c>
      <c r="G35" s="135"/>
      <c r="H35" s="130"/>
    </row>
    <row r="36" spans="1:10" s="57" customFormat="1" ht="30" customHeight="1" x14ac:dyDescent="0.25">
      <c r="B36" s="163"/>
      <c r="C36" s="450"/>
      <c r="D36" s="115"/>
      <c r="E36" s="115"/>
      <c r="F36" s="147"/>
      <c r="G36" s="135"/>
      <c r="H36" s="130"/>
    </row>
    <row r="37" spans="1:10" s="57" customFormat="1" ht="30" customHeight="1" thickBot="1" x14ac:dyDescent="0.3">
      <c r="B37" s="163"/>
      <c r="C37" s="114"/>
      <c r="D37" s="115"/>
      <c r="E37" s="115"/>
      <c r="F37" s="148"/>
      <c r="G37" s="45"/>
      <c r="H37" s="130"/>
    </row>
    <row r="38" spans="1:10" s="57" customFormat="1" ht="19.2" thickTop="1" thickBot="1" x14ac:dyDescent="0.3">
      <c r="A38" s="467"/>
      <c r="B38" s="457"/>
      <c r="C38" s="608" t="s">
        <v>620</v>
      </c>
      <c r="D38" s="457"/>
      <c r="E38" s="457"/>
      <c r="F38" s="468"/>
      <c r="G38" s="135"/>
      <c r="H38" s="130"/>
    </row>
    <row r="39" spans="1:10" s="57" customFormat="1" ht="15.6" x14ac:dyDescent="0.25">
      <c r="A39" s="469"/>
      <c r="B39" s="458"/>
      <c r="C39" s="620" t="s">
        <v>621</v>
      </c>
      <c r="D39" s="459"/>
      <c r="E39" s="459"/>
      <c r="F39" s="149">
        <f>SUM(H50:H64)</f>
        <v>0</v>
      </c>
      <c r="G39" s="150"/>
    </row>
    <row r="40" spans="1:10" s="57" customFormat="1" ht="15.6" x14ac:dyDescent="0.25">
      <c r="A40" s="470"/>
      <c r="B40" s="460"/>
      <c r="C40" s="621" t="s">
        <v>622</v>
      </c>
      <c r="D40" s="461"/>
      <c r="E40" s="461"/>
      <c r="F40" s="151">
        <f>SUM(H66:H73)</f>
        <v>0</v>
      </c>
      <c r="G40" s="150"/>
    </row>
    <row r="41" spans="1:10" s="57" customFormat="1" ht="15.6" x14ac:dyDescent="0.25">
      <c r="A41" s="470"/>
      <c r="B41" s="460"/>
      <c r="C41" s="621" t="s">
        <v>623</v>
      </c>
      <c r="D41" s="461"/>
      <c r="E41" s="461"/>
      <c r="F41" s="151">
        <f>SUM(H75:H80)</f>
        <v>0</v>
      </c>
      <c r="G41" s="135"/>
      <c r="H41" s="130"/>
    </row>
    <row r="42" spans="1:10" s="57" customFormat="1" ht="16.2" thickBot="1" x14ac:dyDescent="0.3">
      <c r="A42" s="471"/>
      <c r="B42" s="462"/>
      <c r="C42" s="622" t="s">
        <v>624</v>
      </c>
      <c r="D42" s="463"/>
      <c r="E42" s="463"/>
      <c r="F42" s="152">
        <f>H87</f>
        <v>0</v>
      </c>
      <c r="G42" s="135"/>
      <c r="H42" s="130"/>
    </row>
    <row r="43" spans="1:10" s="57" customFormat="1" ht="30" customHeight="1" thickBot="1" x14ac:dyDescent="0.3">
      <c r="A43" s="472"/>
      <c r="B43" s="464"/>
      <c r="C43" s="623" t="s">
        <v>625</v>
      </c>
      <c r="D43" s="465"/>
      <c r="E43" s="465"/>
      <c r="F43" s="153">
        <f>SUM(F39:F42)</f>
        <v>0</v>
      </c>
      <c r="G43" s="135"/>
      <c r="H43" s="130"/>
    </row>
    <row r="44" spans="1:10" s="57" customFormat="1" ht="30" customHeight="1" thickTop="1" x14ac:dyDescent="0.25">
      <c r="C44" s="6"/>
      <c r="D44" s="8"/>
      <c r="E44" s="8"/>
      <c r="F44" s="154"/>
      <c r="G44" s="45"/>
      <c r="H44" s="130"/>
    </row>
    <row r="45" spans="1:10" s="57" customFormat="1" ht="30" customHeight="1" x14ac:dyDescent="0.25">
      <c r="A45" s="56"/>
      <c r="B45" s="56"/>
      <c r="C45" s="121"/>
      <c r="D45" s="31"/>
      <c r="E45" s="31"/>
      <c r="F45" s="148"/>
      <c r="G45" s="155"/>
      <c r="H45" s="136"/>
      <c r="I45" s="56"/>
      <c r="J45" s="56"/>
    </row>
    <row r="46" spans="1:10" s="57" customFormat="1" ht="30" customHeight="1" x14ac:dyDescent="0.25">
      <c r="A46" s="56"/>
      <c r="B46" s="56"/>
      <c r="C46" s="121"/>
      <c r="D46" s="31"/>
      <c r="E46" s="31"/>
      <c r="F46" s="148"/>
      <c r="G46" s="155"/>
      <c r="H46" s="136"/>
      <c r="I46" s="56"/>
      <c r="J46" s="56"/>
    </row>
    <row r="47" spans="1:10" s="57" customFormat="1" ht="45" customHeight="1" x14ac:dyDescent="0.3">
      <c r="A47" s="103" t="s">
        <v>534</v>
      </c>
      <c r="B47" s="104"/>
      <c r="C47" s="104"/>
      <c r="D47" s="104"/>
      <c r="E47" s="104"/>
      <c r="F47" s="156"/>
      <c r="G47" s="156"/>
      <c r="H47" s="156"/>
      <c r="I47" s="157"/>
      <c r="J47" s="158"/>
    </row>
    <row r="48" spans="1:10" s="57" customFormat="1" x14ac:dyDescent="0.25">
      <c r="C48" s="239" t="s">
        <v>92</v>
      </c>
      <c r="D48" s="239" t="s">
        <v>536</v>
      </c>
      <c r="E48" s="239" t="s">
        <v>628</v>
      </c>
      <c r="F48" s="473" t="s">
        <v>520</v>
      </c>
      <c r="G48" s="388" t="s">
        <v>521</v>
      </c>
      <c r="H48" s="388" t="s">
        <v>629</v>
      </c>
      <c r="I48" s="388" t="s">
        <v>170</v>
      </c>
      <c r="J48" s="388" t="s">
        <v>629</v>
      </c>
    </row>
    <row r="49" spans="1:13" s="57" customFormat="1" ht="30" customHeight="1" x14ac:dyDescent="0.25">
      <c r="C49" s="179" t="s">
        <v>632</v>
      </c>
      <c r="D49" s="115"/>
      <c r="E49" s="115"/>
      <c r="F49" s="129"/>
      <c r="G49" s="45"/>
      <c r="H49" s="46"/>
      <c r="I49" s="163"/>
      <c r="J49" s="163"/>
    </row>
    <row r="50" spans="1:13" s="57" customFormat="1" x14ac:dyDescent="0.25">
      <c r="C50" s="114" t="s">
        <v>19</v>
      </c>
      <c r="D50" s="115" t="s">
        <v>370</v>
      </c>
      <c r="E50" s="115" t="s">
        <v>392</v>
      </c>
      <c r="F50" s="569">
        <v>49</v>
      </c>
      <c r="G50" s="160">
        <f>IF(F11&gt;500,500,F11)</f>
        <v>0</v>
      </c>
      <c r="H50" s="46">
        <f>G50*F50</f>
        <v>0</v>
      </c>
      <c r="I50" s="161">
        <v>74</v>
      </c>
      <c r="J50" s="162">
        <f>IF($F$34="Yes",(G50*I50),0)</f>
        <v>0</v>
      </c>
    </row>
    <row r="51" spans="1:13" s="57" customFormat="1" ht="15" hidden="1" customHeight="1" x14ac:dyDescent="0.25">
      <c r="C51" s="114"/>
      <c r="D51" s="115"/>
      <c r="E51" s="115"/>
      <c r="F51" s="569"/>
      <c r="G51" s="164">
        <f>F11-G50</f>
        <v>0</v>
      </c>
      <c r="H51" s="46"/>
      <c r="I51" s="161"/>
      <c r="J51" s="162">
        <f t="shared" ref="J51:J57" si="0">IF($F$34="Ja",(G51*I51),0)</f>
        <v>0</v>
      </c>
    </row>
    <row r="52" spans="1:13" s="57" customFormat="1" x14ac:dyDescent="0.25">
      <c r="C52" s="114" t="s">
        <v>20</v>
      </c>
      <c r="D52" s="115" t="s">
        <v>391</v>
      </c>
      <c r="E52" s="115" t="s">
        <v>393</v>
      </c>
      <c r="F52" s="569">
        <v>44</v>
      </c>
      <c r="G52" s="160">
        <f>IF(G51&gt;500,500,G51)</f>
        <v>0</v>
      </c>
      <c r="H52" s="46">
        <f t="shared" ref="H52:H69" si="1">G52*F52</f>
        <v>0</v>
      </c>
      <c r="I52" s="161">
        <v>66</v>
      </c>
      <c r="J52" s="162">
        <f>IF($F$34="Yes",(G52*I52),0)</f>
        <v>0</v>
      </c>
    </row>
    <row r="53" spans="1:13" s="57" customFormat="1" hidden="1" x14ac:dyDescent="0.25">
      <c r="C53" s="114"/>
      <c r="D53" s="115"/>
      <c r="E53" s="115"/>
      <c r="F53" s="569"/>
      <c r="G53" s="164">
        <f>F11-G52-G50</f>
        <v>0</v>
      </c>
      <c r="H53" s="46"/>
      <c r="I53" s="161"/>
      <c r="J53" s="162">
        <f t="shared" si="0"/>
        <v>0</v>
      </c>
    </row>
    <row r="54" spans="1:13" s="57" customFormat="1" x14ac:dyDescent="0.25">
      <c r="C54" s="114" t="s">
        <v>21</v>
      </c>
      <c r="D54" s="115" t="s">
        <v>371</v>
      </c>
      <c r="E54" s="115" t="s">
        <v>394</v>
      </c>
      <c r="F54" s="569">
        <v>35</v>
      </c>
      <c r="G54" s="160">
        <f>IF(G53&gt;1000,1000,G53)</f>
        <v>0</v>
      </c>
      <c r="H54" s="46">
        <f t="shared" si="1"/>
        <v>0</v>
      </c>
      <c r="I54" s="161">
        <v>53</v>
      </c>
      <c r="J54" s="162">
        <f>IF($F$34="Yes",(G54*I54),0)</f>
        <v>0</v>
      </c>
    </row>
    <row r="55" spans="1:13" s="57" customFormat="1" hidden="1" x14ac:dyDescent="0.25">
      <c r="C55" s="114"/>
      <c r="D55" s="115"/>
      <c r="E55" s="115"/>
      <c r="F55" s="569"/>
      <c r="G55" s="164">
        <f>F11-G54-G52-G50</f>
        <v>0</v>
      </c>
      <c r="H55" s="46"/>
      <c r="I55" s="161"/>
      <c r="J55" s="162">
        <f t="shared" si="0"/>
        <v>0</v>
      </c>
    </row>
    <row r="56" spans="1:13" s="57" customFormat="1" x14ac:dyDescent="0.25">
      <c r="C56" s="114" t="s">
        <v>22</v>
      </c>
      <c r="D56" s="115" t="s">
        <v>372</v>
      </c>
      <c r="E56" s="115" t="s">
        <v>395</v>
      </c>
      <c r="F56" s="569">
        <v>30</v>
      </c>
      <c r="G56" s="160">
        <f>IF(G55&gt;3000,3000,G55)</f>
        <v>0</v>
      </c>
      <c r="H56" s="46">
        <f t="shared" si="1"/>
        <v>0</v>
      </c>
      <c r="I56" s="161">
        <v>45</v>
      </c>
      <c r="J56" s="162">
        <f>IF($F$34="Yes",(G56*I56),0)</f>
        <v>0</v>
      </c>
    </row>
    <row r="57" spans="1:13" s="57" customFormat="1" hidden="1" x14ac:dyDescent="0.25">
      <c r="A57" s="131"/>
      <c r="B57" s="131"/>
      <c r="C57" s="119"/>
      <c r="D57" s="124"/>
      <c r="E57" s="124"/>
      <c r="F57" s="570"/>
      <c r="G57" s="164">
        <f>F11-G56-G54-G52-G50</f>
        <v>0</v>
      </c>
      <c r="H57" s="49"/>
      <c r="I57" s="165"/>
      <c r="J57" s="162">
        <f t="shared" si="0"/>
        <v>0</v>
      </c>
    </row>
    <row r="58" spans="1:13" s="57" customFormat="1" ht="14.4" thickBot="1" x14ac:dyDescent="0.3">
      <c r="A58" s="131"/>
      <c r="B58" s="131"/>
      <c r="C58" s="119" t="s">
        <v>23</v>
      </c>
      <c r="D58" s="124" t="s">
        <v>373</v>
      </c>
      <c r="E58" s="124" t="s">
        <v>396</v>
      </c>
      <c r="F58" s="570">
        <v>27</v>
      </c>
      <c r="G58" s="164">
        <f>F11-G56-G54-G52-G50</f>
        <v>0</v>
      </c>
      <c r="H58" s="49">
        <f t="shared" si="1"/>
        <v>0</v>
      </c>
      <c r="I58" s="165">
        <v>41</v>
      </c>
      <c r="J58" s="166">
        <f t="shared" ref="J58:J64" si="2">IF($F$34="Yes",(G58*I58),0)</f>
        <v>0</v>
      </c>
    </row>
    <row r="59" spans="1:13" s="57" customFormat="1" x14ac:dyDescent="0.25">
      <c r="C59" s="167" t="s">
        <v>74</v>
      </c>
      <c r="D59" s="168" t="s">
        <v>374</v>
      </c>
      <c r="E59" s="168" t="s">
        <v>397</v>
      </c>
      <c r="F59" s="571">
        <v>9.8000000000000007</v>
      </c>
      <c r="G59" s="589">
        <f>IF(F13="Yes",G50,0)</f>
        <v>0</v>
      </c>
      <c r="H59" s="54">
        <f t="shared" si="1"/>
        <v>0</v>
      </c>
      <c r="I59" s="169">
        <v>17</v>
      </c>
      <c r="J59" s="170">
        <f t="shared" si="2"/>
        <v>0</v>
      </c>
    </row>
    <row r="60" spans="1:13" s="57" customFormat="1" x14ac:dyDescent="0.25">
      <c r="C60" s="114" t="s">
        <v>75</v>
      </c>
      <c r="D60" s="115" t="s">
        <v>375</v>
      </c>
      <c r="E60" s="115" t="s">
        <v>398</v>
      </c>
      <c r="F60" s="569">
        <v>8.8000000000000007</v>
      </c>
      <c r="G60" s="160">
        <f>IF(F13="Yes",G52,0)</f>
        <v>0</v>
      </c>
      <c r="H60" s="46">
        <f t="shared" si="1"/>
        <v>0</v>
      </c>
      <c r="I60" s="161">
        <v>15</v>
      </c>
      <c r="J60" s="162">
        <f t="shared" si="2"/>
        <v>0</v>
      </c>
    </row>
    <row r="61" spans="1:13" s="57" customFormat="1" x14ac:dyDescent="0.25">
      <c r="C61" s="114" t="s">
        <v>76</v>
      </c>
      <c r="D61" s="115" t="s">
        <v>376</v>
      </c>
      <c r="E61" s="115" t="s">
        <v>399</v>
      </c>
      <c r="F61" s="569">
        <v>7</v>
      </c>
      <c r="G61" s="126">
        <f>IF(F13="Yes",G54,0)</f>
        <v>0</v>
      </c>
      <c r="H61" s="46">
        <f t="shared" si="1"/>
        <v>0</v>
      </c>
      <c r="I61" s="161">
        <v>12</v>
      </c>
      <c r="J61" s="162">
        <f t="shared" si="2"/>
        <v>0</v>
      </c>
    </row>
    <row r="62" spans="1:13" s="57" customFormat="1" x14ac:dyDescent="0.25">
      <c r="C62" s="114" t="s">
        <v>77</v>
      </c>
      <c r="D62" s="115" t="s">
        <v>377</v>
      </c>
      <c r="E62" s="115" t="s">
        <v>400</v>
      </c>
      <c r="F62" s="569">
        <v>6</v>
      </c>
      <c r="G62" s="160">
        <f>IF(F13="Yes",G56,0)</f>
        <v>0</v>
      </c>
      <c r="H62" s="46">
        <f t="shared" si="1"/>
        <v>0</v>
      </c>
      <c r="I62" s="161">
        <v>10</v>
      </c>
      <c r="J62" s="162">
        <f t="shared" si="2"/>
        <v>0</v>
      </c>
    </row>
    <row r="63" spans="1:13" s="57" customFormat="1" ht="14.4" thickBot="1" x14ac:dyDescent="0.3">
      <c r="A63" s="131"/>
      <c r="B63" s="131"/>
      <c r="C63" s="119" t="s">
        <v>78</v>
      </c>
      <c r="D63" s="124" t="s">
        <v>378</v>
      </c>
      <c r="E63" s="124" t="s">
        <v>401</v>
      </c>
      <c r="F63" s="570">
        <v>5.4</v>
      </c>
      <c r="G63" s="126">
        <f>IF(F13="Yes",G58,0)</f>
        <v>0</v>
      </c>
      <c r="H63" s="49">
        <f t="shared" si="1"/>
        <v>0</v>
      </c>
      <c r="I63" s="165">
        <v>9</v>
      </c>
      <c r="J63" s="166">
        <f t="shared" si="2"/>
        <v>0</v>
      </c>
    </row>
    <row r="64" spans="1:13" s="57" customFormat="1" ht="14.4" thickBot="1" x14ac:dyDescent="0.3">
      <c r="A64" s="131"/>
      <c r="B64" s="131"/>
      <c r="C64" s="172" t="s">
        <v>85</v>
      </c>
      <c r="D64" s="173" t="s">
        <v>379</v>
      </c>
      <c r="E64" s="173" t="s">
        <v>402</v>
      </c>
      <c r="F64" s="572">
        <v>5</v>
      </c>
      <c r="G64" s="174">
        <f>IF($F$14="Yes",F11,0)</f>
        <v>0</v>
      </c>
      <c r="H64" s="175">
        <f>G64*F64</f>
        <v>0</v>
      </c>
      <c r="I64" s="176">
        <v>8</v>
      </c>
      <c r="J64" s="170">
        <f t="shared" si="2"/>
        <v>0</v>
      </c>
      <c r="M64" s="131"/>
    </row>
    <row r="65" spans="1:13" s="57" customFormat="1" ht="30" customHeight="1" x14ac:dyDescent="0.25">
      <c r="A65" s="131"/>
      <c r="B65" s="131"/>
      <c r="C65" s="179" t="s">
        <v>631</v>
      </c>
      <c r="D65" s="124"/>
      <c r="E65" s="124"/>
      <c r="F65" s="570"/>
      <c r="G65" s="163"/>
      <c r="H65" s="49"/>
      <c r="I65" s="165"/>
      <c r="J65" s="170"/>
      <c r="M65" s="131"/>
    </row>
    <row r="66" spans="1:13" s="57" customFormat="1" x14ac:dyDescent="0.25">
      <c r="A66" s="131"/>
      <c r="B66" s="131"/>
      <c r="C66" s="119" t="s">
        <v>79</v>
      </c>
      <c r="D66" s="124" t="s">
        <v>380</v>
      </c>
      <c r="E66" s="124" t="s">
        <v>403</v>
      </c>
      <c r="F66" s="570">
        <v>10</v>
      </c>
      <c r="G66" s="171">
        <f t="shared" ref="G66:G73" si="3">F17</f>
        <v>0</v>
      </c>
      <c r="H66" s="49">
        <f t="shared" si="1"/>
        <v>0</v>
      </c>
      <c r="I66" s="165">
        <v>15</v>
      </c>
      <c r="J66" s="162">
        <f t="shared" ref="J66:J73" si="4">IF($F$34="Yes",(G66*I66),0)</f>
        <v>0</v>
      </c>
      <c r="M66" s="48"/>
    </row>
    <row r="67" spans="1:13" s="57" customFormat="1" x14ac:dyDescent="0.25">
      <c r="A67" s="131"/>
      <c r="B67" s="131"/>
      <c r="C67" s="114" t="s">
        <v>87</v>
      </c>
      <c r="D67" s="115" t="s">
        <v>381</v>
      </c>
      <c r="E67" s="115" t="s">
        <v>404</v>
      </c>
      <c r="F67" s="569">
        <v>35</v>
      </c>
      <c r="G67" s="160">
        <f t="shared" si="3"/>
        <v>0</v>
      </c>
      <c r="H67" s="46">
        <f t="shared" si="1"/>
        <v>0</v>
      </c>
      <c r="I67" s="161">
        <v>53</v>
      </c>
      <c r="J67" s="162">
        <f t="shared" si="4"/>
        <v>0</v>
      </c>
      <c r="M67" s="48"/>
    </row>
    <row r="68" spans="1:13" s="57" customFormat="1" x14ac:dyDescent="0.25">
      <c r="A68" s="180"/>
      <c r="B68" s="180"/>
      <c r="C68" s="114" t="s">
        <v>88</v>
      </c>
      <c r="D68" s="115" t="s">
        <v>382</v>
      </c>
      <c r="E68" s="115" t="s">
        <v>405</v>
      </c>
      <c r="F68" s="569">
        <v>15</v>
      </c>
      <c r="G68" s="160">
        <f t="shared" si="3"/>
        <v>0</v>
      </c>
      <c r="H68" s="46">
        <f t="shared" si="1"/>
        <v>0</v>
      </c>
      <c r="I68" s="161">
        <v>23</v>
      </c>
      <c r="J68" s="162">
        <f t="shared" si="4"/>
        <v>0</v>
      </c>
      <c r="M68" s="48"/>
    </row>
    <row r="69" spans="1:13" s="57" customFormat="1" x14ac:dyDescent="0.25">
      <c r="C69" s="114" t="s">
        <v>80</v>
      </c>
      <c r="D69" s="115" t="s">
        <v>383</v>
      </c>
      <c r="E69" s="115" t="s">
        <v>406</v>
      </c>
      <c r="F69" s="569">
        <v>30</v>
      </c>
      <c r="G69" s="160">
        <f t="shared" si="3"/>
        <v>0</v>
      </c>
      <c r="H69" s="46">
        <f t="shared" si="1"/>
        <v>0</v>
      </c>
      <c r="I69" s="161">
        <v>60</v>
      </c>
      <c r="J69" s="162">
        <f t="shared" si="4"/>
        <v>0</v>
      </c>
    </row>
    <row r="70" spans="1:13" s="57" customFormat="1" x14ac:dyDescent="0.25">
      <c r="C70" s="114" t="s">
        <v>86</v>
      </c>
      <c r="D70" s="115" t="s">
        <v>384</v>
      </c>
      <c r="E70" s="115" t="s">
        <v>407</v>
      </c>
      <c r="F70" s="569">
        <v>10</v>
      </c>
      <c r="G70" s="160">
        <f t="shared" si="3"/>
        <v>0</v>
      </c>
      <c r="H70" s="46">
        <f>G70*F70</f>
        <v>0</v>
      </c>
      <c r="I70" s="161">
        <v>15</v>
      </c>
      <c r="J70" s="162">
        <f t="shared" si="4"/>
        <v>0</v>
      </c>
    </row>
    <row r="71" spans="1:13" s="57" customFormat="1" x14ac:dyDescent="0.25">
      <c r="C71" s="114" t="s">
        <v>329</v>
      </c>
      <c r="D71" s="115" t="s">
        <v>385</v>
      </c>
      <c r="E71" s="124" t="s">
        <v>408</v>
      </c>
      <c r="F71" s="570">
        <v>15</v>
      </c>
      <c r="G71" s="171">
        <f t="shared" si="3"/>
        <v>0</v>
      </c>
      <c r="H71" s="46">
        <f>G71*F71</f>
        <v>0</v>
      </c>
      <c r="I71" s="165">
        <v>22</v>
      </c>
      <c r="J71" s="162">
        <f t="shared" si="4"/>
        <v>0</v>
      </c>
    </row>
    <row r="72" spans="1:13" s="57" customFormat="1" x14ac:dyDescent="0.25">
      <c r="C72" s="119" t="s">
        <v>89</v>
      </c>
      <c r="D72" s="124" t="s">
        <v>386</v>
      </c>
      <c r="E72" s="124" t="s">
        <v>409</v>
      </c>
      <c r="F72" s="570">
        <v>58</v>
      </c>
      <c r="G72" s="171">
        <f t="shared" si="3"/>
        <v>0</v>
      </c>
      <c r="H72" s="49">
        <f>G72*F72</f>
        <v>0</v>
      </c>
      <c r="I72" s="165">
        <v>87</v>
      </c>
      <c r="J72" s="162">
        <f t="shared" si="4"/>
        <v>0</v>
      </c>
    </row>
    <row r="73" spans="1:13" s="57" customFormat="1" ht="14.4" thickBot="1" x14ac:dyDescent="0.3">
      <c r="C73" s="119" t="s">
        <v>416</v>
      </c>
      <c r="D73" s="124" t="s">
        <v>417</v>
      </c>
      <c r="E73" s="124" t="s">
        <v>418</v>
      </c>
      <c r="F73" s="570">
        <v>30</v>
      </c>
      <c r="G73" s="171">
        <f t="shared" si="3"/>
        <v>0</v>
      </c>
      <c r="H73" s="49">
        <f>G73*F73</f>
        <v>0</v>
      </c>
      <c r="I73" s="165">
        <v>45</v>
      </c>
      <c r="J73" s="166">
        <f t="shared" si="4"/>
        <v>0</v>
      </c>
    </row>
    <row r="74" spans="1:13" s="57" customFormat="1" ht="30" customHeight="1" x14ac:dyDescent="0.25">
      <c r="C74" s="624" t="s">
        <v>630</v>
      </c>
      <c r="D74" s="168"/>
      <c r="E74" s="168"/>
      <c r="F74" s="571"/>
      <c r="G74" s="589"/>
      <c r="H74" s="54"/>
      <c r="I74" s="169"/>
      <c r="J74" s="170"/>
    </row>
    <row r="75" spans="1:13" s="57" customFormat="1" x14ac:dyDescent="0.25">
      <c r="C75" s="114" t="s">
        <v>84</v>
      </c>
      <c r="D75" s="115" t="s">
        <v>387</v>
      </c>
      <c r="E75" s="115" t="s">
        <v>410</v>
      </c>
      <c r="F75" s="569">
        <v>20</v>
      </c>
      <c r="G75" s="160">
        <f>F27</f>
        <v>0</v>
      </c>
      <c r="H75" s="46">
        <f t="shared" ref="H75:H80" si="5">G75*F75</f>
        <v>0</v>
      </c>
      <c r="I75" s="161">
        <v>30</v>
      </c>
      <c r="J75" s="162">
        <f t="shared" ref="J75:J80" si="6">IF($F$34="Yes",(G75*I75),0)</f>
        <v>0</v>
      </c>
    </row>
    <row r="76" spans="1:13" s="57" customFormat="1" x14ac:dyDescent="0.25">
      <c r="C76" s="114" t="s">
        <v>82</v>
      </c>
      <c r="D76" s="115" t="s">
        <v>388</v>
      </c>
      <c r="E76" s="115" t="s">
        <v>411</v>
      </c>
      <c r="F76" s="569">
        <v>245</v>
      </c>
      <c r="G76" s="160">
        <f>F28</f>
        <v>0</v>
      </c>
      <c r="H76" s="46">
        <f t="shared" si="5"/>
        <v>0</v>
      </c>
      <c r="I76" s="161">
        <v>368</v>
      </c>
      <c r="J76" s="162">
        <f t="shared" si="6"/>
        <v>0</v>
      </c>
    </row>
    <row r="77" spans="1:13" s="57" customFormat="1" x14ac:dyDescent="0.25">
      <c r="B77" s="131"/>
      <c r="C77" s="114" t="s">
        <v>81</v>
      </c>
      <c r="D77" s="115" t="s">
        <v>389</v>
      </c>
      <c r="E77" s="115" t="s">
        <v>412</v>
      </c>
      <c r="F77" s="569">
        <v>1400</v>
      </c>
      <c r="G77" s="160">
        <f>F29</f>
        <v>0</v>
      </c>
      <c r="H77" s="46">
        <f t="shared" si="5"/>
        <v>0</v>
      </c>
      <c r="I77" s="161">
        <v>2100</v>
      </c>
      <c r="J77" s="162">
        <f t="shared" si="6"/>
        <v>0</v>
      </c>
    </row>
    <row r="78" spans="1:13" s="57" customFormat="1" x14ac:dyDescent="0.25">
      <c r="C78" s="114" t="s">
        <v>83</v>
      </c>
      <c r="D78" s="115" t="s">
        <v>390</v>
      </c>
      <c r="E78" s="115" t="s">
        <v>413</v>
      </c>
      <c r="F78" s="569">
        <v>5</v>
      </c>
      <c r="G78" s="160">
        <f>F30</f>
        <v>0</v>
      </c>
      <c r="H78" s="46">
        <f t="shared" si="5"/>
        <v>0</v>
      </c>
      <c r="I78" s="161">
        <v>8</v>
      </c>
      <c r="J78" s="162">
        <f t="shared" si="6"/>
        <v>0</v>
      </c>
      <c r="K78" s="56"/>
    </row>
    <row r="79" spans="1:13" s="57" customFormat="1" ht="27.6" x14ac:dyDescent="0.25">
      <c r="C79" s="114" t="s">
        <v>319</v>
      </c>
      <c r="D79" s="115" t="s">
        <v>634</v>
      </c>
      <c r="E79" s="124" t="s">
        <v>414</v>
      </c>
      <c r="F79" s="570">
        <v>499</v>
      </c>
      <c r="G79" s="171">
        <f>IF(F31&gt;0,1,0)</f>
        <v>0</v>
      </c>
      <c r="H79" s="49">
        <f t="shared" si="5"/>
        <v>0</v>
      </c>
      <c r="I79" s="165">
        <v>749</v>
      </c>
      <c r="J79" s="162">
        <f t="shared" si="6"/>
        <v>0</v>
      </c>
      <c r="K79" s="56"/>
    </row>
    <row r="80" spans="1:13" s="57" customFormat="1" ht="28.2" thickBot="1" x14ac:dyDescent="0.3">
      <c r="C80" s="114" t="s">
        <v>320</v>
      </c>
      <c r="D80" s="115" t="s">
        <v>633</v>
      </c>
      <c r="E80" s="124" t="s">
        <v>415</v>
      </c>
      <c r="F80" s="570">
        <v>49</v>
      </c>
      <c r="G80" s="171">
        <f>IF(F31&gt;0,F31-1,0)</f>
        <v>0</v>
      </c>
      <c r="H80" s="49">
        <f t="shared" si="5"/>
        <v>0</v>
      </c>
      <c r="I80" s="165">
        <v>74</v>
      </c>
      <c r="J80" s="162">
        <f t="shared" si="6"/>
        <v>0</v>
      </c>
      <c r="K80" s="56"/>
    </row>
    <row r="81" spans="2:11" s="57" customFormat="1" ht="27.6" customHeight="1" thickTop="1" x14ac:dyDescent="0.25">
      <c r="B81" s="56"/>
      <c r="C81" s="332"/>
      <c r="D81" s="625" t="s">
        <v>635</v>
      </c>
      <c r="E81" s="333"/>
      <c r="F81" s="334"/>
      <c r="G81" s="335"/>
      <c r="H81" s="336">
        <f>SUM(H50:H80)</f>
        <v>0</v>
      </c>
      <c r="I81" s="335"/>
      <c r="J81" s="337">
        <f>SUM(J50:J80)</f>
        <v>0</v>
      </c>
      <c r="K81" s="474" t="s">
        <v>636</v>
      </c>
    </row>
    <row r="82" spans="2:11" s="57" customFormat="1" ht="27.6" customHeight="1" x14ac:dyDescent="0.25">
      <c r="B82" s="56"/>
      <c r="K82" s="181"/>
    </row>
    <row r="83" spans="2:11" s="57" customFormat="1" ht="18" x14ac:dyDescent="0.3">
      <c r="C83" s="179" t="s">
        <v>216</v>
      </c>
      <c r="D83" s="115"/>
      <c r="E83" s="115"/>
      <c r="F83" s="129"/>
      <c r="H83" s="5"/>
    </row>
    <row r="84" spans="2:11" s="57" customFormat="1" x14ac:dyDescent="0.3">
      <c r="C84" s="114"/>
      <c r="D84" s="475"/>
      <c r="E84" s="475"/>
      <c r="F84" s="182"/>
      <c r="H84" s="5"/>
    </row>
    <row r="85" spans="2:11" x14ac:dyDescent="0.3">
      <c r="C85" s="114" t="s">
        <v>885</v>
      </c>
      <c r="D85" s="626" t="s">
        <v>216</v>
      </c>
      <c r="E85" s="115" t="s">
        <v>170</v>
      </c>
      <c r="F85" s="569">
        <v>0.1</v>
      </c>
      <c r="G85" s="183">
        <f>J81*F35</f>
        <v>0</v>
      </c>
      <c r="H85" s="46">
        <f>F85*G85</f>
        <v>0</v>
      </c>
      <c r="I85" s="476"/>
      <c r="J85" s="184">
        <f>J81*F35</f>
        <v>0</v>
      </c>
      <c r="K85" s="185" t="str">
        <f>IF(F35=1,"SSCs for 1 year",IF(F35=2,"SSCs for 2 years",IF(F35=3,"SSCs for 3 years",IF(F35=4,"SSCs for 4 years",IF(F35=5,"SSCs for 5 years",IF(F35=0,""))))))</f>
        <v/>
      </c>
    </row>
    <row r="86" spans="2:11" ht="14.4" thickBot="1" x14ac:dyDescent="0.35">
      <c r="C86" s="186"/>
      <c r="D86" s="187"/>
      <c r="E86" s="187"/>
      <c r="F86" s="188"/>
      <c r="G86" s="318"/>
      <c r="H86" s="29"/>
      <c r="I86" s="29"/>
      <c r="J86" s="189"/>
    </row>
    <row r="87" spans="2:11" ht="30" customHeight="1" thickTop="1" x14ac:dyDescent="0.3">
      <c r="C87" s="338"/>
      <c r="D87" s="339" t="s">
        <v>637</v>
      </c>
      <c r="E87" s="338"/>
      <c r="F87" s="340"/>
      <c r="G87" s="341"/>
      <c r="H87" s="336">
        <f>J85/10</f>
        <v>0</v>
      </c>
      <c r="K87" s="190"/>
    </row>
    <row r="139" spans="11:16" x14ac:dyDescent="0.3">
      <c r="K139" s="163"/>
      <c r="L139" s="163" t="s">
        <v>538</v>
      </c>
      <c r="M139" s="163" t="s">
        <v>530</v>
      </c>
      <c r="N139" s="163"/>
      <c r="O139" s="163"/>
      <c r="P139" s="163"/>
    </row>
    <row r="140" spans="11:16" x14ac:dyDescent="0.3">
      <c r="K140" s="466">
        <v>0</v>
      </c>
      <c r="L140" s="466">
        <v>1</v>
      </c>
      <c r="M140" s="466">
        <v>2</v>
      </c>
      <c r="N140" s="466">
        <v>3</v>
      </c>
      <c r="O140" s="466">
        <v>4</v>
      </c>
      <c r="P140" s="466">
        <v>5</v>
      </c>
    </row>
  </sheetData>
  <sheetProtection password="EE20" sheet="1" objects="1" scenarios="1"/>
  <mergeCells count="1">
    <mergeCell ref="A2:F2"/>
  </mergeCells>
  <phoneticPr fontId="1" type="noConversion"/>
  <dataValidations xWindow="1300" yWindow="587" count="9">
    <dataValidation type="list" allowBlank="1" showInputMessage="1" showErrorMessage="1" sqref="F34 F13:F14">
      <formula1>$L$139:$N$139</formula1>
    </dataValidation>
    <dataValidation type="whole" operator="lessThanOrEqual" allowBlank="1" showInputMessage="1" showErrorMessage="1" error="Die Port-Lic max20 kann nur für die ersten 20 Port Lizenzen gewählt werden." promptTitle="max20" sqref="L25:L26 G49 L49 L32:L39 G41:G46 L41:L46 G38:G39 G3:G4 L3:L12">
      <formula1>20</formula1>
    </dataValidation>
    <dataValidation type="whole" operator="lessThanOrEqual" allowBlank="1" showInputMessage="1" showErrorMessage="1" error="Die Standby max20 kann nur für die ersten 20 Port Lizenzen gewählt werden." promptTitle="max20" sqref="G62:G63 G59:G60">
      <formula1>20</formula1>
    </dataValidation>
    <dataValidation type="list" allowBlank="1" showInputMessage="1" showErrorMessage="1" sqref="F86">
      <formula1>$K$85:$O$85</formula1>
    </dataValidation>
    <dataValidation type="list" allowBlank="1" showInputMessage="1" showErrorMessage="1" sqref="F35:F36">
      <formula1>$K$140:$P$140</formula1>
    </dataValidation>
    <dataValidation type="whole" errorStyle="warning" operator="lessThanOrEqual" showInputMessage="1" showErrorMessage="1" errorTitle="Bitte Meneg anpassen" error="Beware: Video is based on myPBX. Please consider!" promptTitle="Video and myPBX" prompt="Beware: Video is based on myPBX. Please consider!" sqref="F19">
      <formula1>F18</formula1>
    </dataValidation>
    <dataValidation type="whole" errorStyle="warning" operator="lessThanOrEqual" showInputMessage="1" showErrorMessage="1" errorTitle="Bitte Menge anpassen" error="Beware: Application Sharing is based on myPBX. Please consider!" promptTitle="Application Sharing and myPBX" prompt="Beware: Application Sharing is based on myPBX. Please consider!" sqref="F22">
      <formula1>F18</formula1>
    </dataValidation>
    <dataValidation type="whole" errorStyle="warning" operator="lessThanOrEqual" showInputMessage="1" showErrorMessage="1" errorTitle="Anzahl bitte anpassen" error="For Recording you als need Reporting. Please consider!" promptTitle="Recording needs Reporting" prompt="For Recording you als need Reporting. Please consider!" sqref="F31">
      <formula1>F30</formula1>
    </dataValidation>
    <dataValidation type="whole" errorStyle="warning" operator="greaterThanOrEqual" allowBlank="1" showInputMessage="1" showErrorMessage="1" errorTitle="Anzahl bitte anpassen" error="Pro Recording Lizenz wird auch eine Reporting Lizenz benötigt. Bitte in der Kalkulation berücksichtigen!" sqref="F30">
      <formula1>F31</formula1>
    </dataValidation>
  </dataValidations>
  <pageMargins left="0.78740157480314965" right="0.59055118110236227" top="1.1811023622047245" bottom="0.98425196850393704" header="0.51181102362204722" footer="0.51181102362204722"/>
  <pageSetup paperSize="9" scale="75" orientation="portrait" r:id="rId1"/>
  <headerFooter alignWithMargins="0">
    <oddHeader>&amp;L&amp;20&amp;K00-032 2. Software and Licenses&amp;R&amp;G</oddHeader>
    <oddFooter>&amp;C&amp;P</oddFooter>
  </headerFooter>
  <rowBreaks count="1" manualBreakCount="1">
    <brk id="46" max="16383" man="1"/>
  </rowBreaks>
  <colBreaks count="1" manualBreakCount="1">
    <brk id="9" max="1048575" man="1"/>
  </colBreaks>
  <drawing r:id="rId2"/>
  <legacyDrawing r:id="rId3"/>
  <legacyDrawingHF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759"/>
  <sheetViews>
    <sheetView zoomScaleNormal="100" workbookViewId="0">
      <selection activeCell="B12" sqref="B12"/>
    </sheetView>
  </sheetViews>
  <sheetFormatPr baseColWidth="10" defaultColWidth="11.5546875" defaultRowHeight="13.8" x14ac:dyDescent="0.3"/>
  <cols>
    <col min="1" max="1" width="33.6640625" style="66" customWidth="1"/>
    <col min="2" max="2" width="23.33203125" style="66" customWidth="1"/>
    <col min="3" max="3" width="11.5546875" style="66" hidden="1" customWidth="1"/>
    <col min="4" max="4" width="23.33203125" style="66" hidden="1" customWidth="1"/>
    <col min="5" max="5" width="32.21875" style="66" customWidth="1"/>
    <col min="6" max="6" width="62.33203125" style="66" hidden="1" customWidth="1"/>
    <col min="7" max="7" width="13.6640625" style="66" customWidth="1"/>
    <col min="8" max="16384" width="11.5546875" style="66"/>
  </cols>
  <sheetData>
    <row r="1" spans="1:15" ht="45" customHeight="1" x14ac:dyDescent="0.3">
      <c r="A1" s="283"/>
      <c r="B1" s="283"/>
      <c r="C1" s="283"/>
      <c r="D1" s="283"/>
      <c r="E1" s="283"/>
      <c r="F1" s="283"/>
      <c r="G1" s="284"/>
      <c r="H1" s="284"/>
    </row>
    <row r="2" spans="1:15" ht="36" customHeight="1" x14ac:dyDescent="0.3">
      <c r="A2" s="651" t="s">
        <v>272</v>
      </c>
      <c r="B2" s="651"/>
      <c r="C2" s="651"/>
      <c r="D2" s="651"/>
      <c r="E2" s="651"/>
      <c r="F2" s="651"/>
      <c r="G2" s="651"/>
      <c r="H2" s="651"/>
      <c r="I2" s="651"/>
    </row>
    <row r="3" spans="1:15" x14ac:dyDescent="0.3">
      <c r="A3" s="191"/>
      <c r="B3" s="480"/>
      <c r="C3" s="480"/>
      <c r="D3" s="439" t="s">
        <v>270</v>
      </c>
      <c r="E3" s="439" t="s">
        <v>536</v>
      </c>
      <c r="F3" s="439" t="s">
        <v>165</v>
      </c>
      <c r="G3" s="627" t="s">
        <v>520</v>
      </c>
      <c r="H3" s="437" t="s">
        <v>521</v>
      </c>
      <c r="I3" s="437" t="s">
        <v>629</v>
      </c>
    </row>
    <row r="4" spans="1:15" s="193" customFormat="1" x14ac:dyDescent="0.25">
      <c r="B4" s="481" t="s">
        <v>639</v>
      </c>
      <c r="C4" s="482"/>
      <c r="D4" s="114" t="s">
        <v>239</v>
      </c>
      <c r="E4" s="212" t="s">
        <v>192</v>
      </c>
      <c r="F4" s="8" t="s">
        <v>95</v>
      </c>
      <c r="G4" s="396">
        <v>878</v>
      </c>
      <c r="H4" s="45"/>
      <c r="I4" s="46">
        <f t="shared" ref="I4:I16" si="0">H4*G4</f>
        <v>0</v>
      </c>
    </row>
    <row r="5" spans="1:15" s="193" customFormat="1" x14ac:dyDescent="0.25">
      <c r="B5" s="481"/>
      <c r="C5" s="482"/>
      <c r="D5" s="114"/>
      <c r="E5" s="212" t="s">
        <v>447</v>
      </c>
      <c r="F5" s="8"/>
      <c r="G5" s="396">
        <v>470</v>
      </c>
      <c r="H5" s="45"/>
      <c r="I5" s="46">
        <f>H5*G5</f>
        <v>0</v>
      </c>
    </row>
    <row r="6" spans="1:15" s="193" customFormat="1" x14ac:dyDescent="0.25">
      <c r="B6" s="482"/>
      <c r="C6" s="482"/>
      <c r="D6" s="114" t="s">
        <v>240</v>
      </c>
      <c r="E6" s="212" t="s">
        <v>94</v>
      </c>
      <c r="F6" s="8" t="s">
        <v>420</v>
      </c>
      <c r="G6" s="396">
        <v>1010</v>
      </c>
      <c r="H6" s="45"/>
      <c r="I6" s="46">
        <f t="shared" si="0"/>
        <v>0</v>
      </c>
    </row>
    <row r="7" spans="1:15" s="193" customFormat="1" ht="27.6" x14ac:dyDescent="0.25">
      <c r="A7" s="194"/>
      <c r="B7" s="483"/>
      <c r="C7" s="483"/>
      <c r="D7" s="119" t="s">
        <v>281</v>
      </c>
      <c r="E7" s="628" t="s">
        <v>638</v>
      </c>
      <c r="F7" s="15" t="s">
        <v>157</v>
      </c>
      <c r="G7" s="397">
        <v>40</v>
      </c>
      <c r="H7" s="166">
        <f>IF(OR(H4&gt;0,H5&gt;0,H6&gt;0),1,0)</f>
        <v>0</v>
      </c>
      <c r="I7" s="49">
        <f t="shared" si="0"/>
        <v>0</v>
      </c>
    </row>
    <row r="8" spans="1:15" s="193" customFormat="1" x14ac:dyDescent="0.25">
      <c r="A8" s="195"/>
      <c r="B8" s="484" t="s">
        <v>547</v>
      </c>
      <c r="C8" s="485"/>
      <c r="D8" s="486" t="s">
        <v>282</v>
      </c>
      <c r="E8" s="487" t="s">
        <v>118</v>
      </c>
      <c r="F8" s="196" t="s">
        <v>295</v>
      </c>
      <c r="G8" s="398">
        <v>73</v>
      </c>
      <c r="H8" s="197"/>
      <c r="I8" s="400">
        <f t="shared" si="0"/>
        <v>0</v>
      </c>
    </row>
    <row r="9" spans="1:15" s="193" customFormat="1" x14ac:dyDescent="0.25">
      <c r="B9" s="482"/>
      <c r="C9" s="482"/>
      <c r="D9" s="114" t="s">
        <v>283</v>
      </c>
      <c r="E9" s="115" t="s">
        <v>119</v>
      </c>
      <c r="F9" s="8" t="s">
        <v>294</v>
      </c>
      <c r="G9" s="396">
        <v>73</v>
      </c>
      <c r="H9" s="45"/>
      <c r="I9" s="46">
        <f t="shared" si="0"/>
        <v>0</v>
      </c>
      <c r="L9" s="582"/>
      <c r="M9" s="583"/>
      <c r="N9" s="584"/>
      <c r="O9" s="585"/>
    </row>
    <row r="10" spans="1:15" s="193" customFormat="1" x14ac:dyDescent="0.3">
      <c r="A10" s="47"/>
      <c r="B10" s="481"/>
      <c r="C10" s="482"/>
      <c r="D10" s="114" t="s">
        <v>241</v>
      </c>
      <c r="E10" s="611" t="s">
        <v>641</v>
      </c>
      <c r="F10" s="8" t="s">
        <v>115</v>
      </c>
      <c r="G10" s="396">
        <v>303</v>
      </c>
      <c r="H10" s="45"/>
      <c r="I10" s="46">
        <f t="shared" si="0"/>
        <v>0</v>
      </c>
      <c r="L10" s="582"/>
      <c r="M10" s="584"/>
      <c r="N10" s="584"/>
      <c r="O10" s="585"/>
    </row>
    <row r="11" spans="1:15" s="193" customFormat="1" x14ac:dyDescent="0.25">
      <c r="B11" s="482"/>
      <c r="C11" s="482"/>
      <c r="D11" s="114" t="s">
        <v>242</v>
      </c>
      <c r="E11" s="611" t="s">
        <v>642</v>
      </c>
      <c r="F11" s="8" t="s">
        <v>90</v>
      </c>
      <c r="G11" s="396">
        <v>270</v>
      </c>
      <c r="H11" s="45"/>
      <c r="I11" s="46">
        <f t="shared" si="0"/>
        <v>0</v>
      </c>
    </row>
    <row r="12" spans="1:15" s="193" customFormat="1" x14ac:dyDescent="0.3">
      <c r="A12" s="198"/>
      <c r="B12" s="482"/>
      <c r="C12" s="482"/>
      <c r="D12" s="114" t="s">
        <v>243</v>
      </c>
      <c r="E12" s="611" t="s">
        <v>643</v>
      </c>
      <c r="F12" s="8" t="s">
        <v>93</v>
      </c>
      <c r="G12" s="396">
        <v>202</v>
      </c>
      <c r="H12" s="45"/>
      <c r="I12" s="46">
        <f t="shared" si="0"/>
        <v>0</v>
      </c>
    </row>
    <row r="13" spans="1:15" s="193" customFormat="1" ht="27.6" x14ac:dyDescent="0.25">
      <c r="B13" s="482"/>
      <c r="C13" s="482"/>
      <c r="D13" s="114" t="s">
        <v>244</v>
      </c>
      <c r="E13" s="611" t="s">
        <v>886</v>
      </c>
      <c r="F13" s="8" t="s">
        <v>91</v>
      </c>
      <c r="G13" s="396">
        <v>427</v>
      </c>
      <c r="H13" s="45"/>
      <c r="I13" s="46">
        <f t="shared" si="0"/>
        <v>0</v>
      </c>
      <c r="K13" s="199"/>
    </row>
    <row r="14" spans="1:15" s="193" customFormat="1" ht="28.2" thickBot="1" x14ac:dyDescent="0.3">
      <c r="A14" s="194"/>
      <c r="B14" s="483"/>
      <c r="C14" s="483"/>
      <c r="D14" s="114" t="s">
        <v>284</v>
      </c>
      <c r="E14" s="628" t="s">
        <v>644</v>
      </c>
      <c r="F14" s="15" t="s">
        <v>116</v>
      </c>
      <c r="G14" s="397">
        <v>948</v>
      </c>
      <c r="H14" s="48"/>
      <c r="I14" s="49">
        <f>H14*G14</f>
        <v>0</v>
      </c>
      <c r="K14" s="199"/>
    </row>
    <row r="15" spans="1:15" s="193" customFormat="1" x14ac:dyDescent="0.25">
      <c r="A15" s="200"/>
      <c r="B15" s="488" t="s">
        <v>215</v>
      </c>
      <c r="C15" s="489"/>
      <c r="D15" s="167" t="s">
        <v>245</v>
      </c>
      <c r="E15" s="168" t="s">
        <v>910</v>
      </c>
      <c r="F15" s="52" t="s">
        <v>154</v>
      </c>
      <c r="G15" s="399">
        <v>99</v>
      </c>
      <c r="H15" s="53"/>
      <c r="I15" s="54">
        <f t="shared" si="0"/>
        <v>0</v>
      </c>
    </row>
    <row r="16" spans="1:15" s="193" customFormat="1" x14ac:dyDescent="0.25">
      <c r="A16" s="194"/>
      <c r="B16" s="483"/>
      <c r="C16" s="483"/>
      <c r="D16" s="119" t="s">
        <v>246</v>
      </c>
      <c r="E16" s="124" t="s">
        <v>645</v>
      </c>
      <c r="F16" s="15" t="s">
        <v>155</v>
      </c>
      <c r="G16" s="397">
        <v>285</v>
      </c>
      <c r="H16" s="48"/>
      <c r="I16" s="49">
        <f t="shared" si="0"/>
        <v>0</v>
      </c>
    </row>
    <row r="17" spans="1:9" s="193" customFormat="1" x14ac:dyDescent="0.25">
      <c r="A17" s="195"/>
      <c r="B17" s="484" t="s">
        <v>640</v>
      </c>
      <c r="C17" s="485"/>
      <c r="D17" s="486" t="s">
        <v>247</v>
      </c>
      <c r="E17" s="487" t="s">
        <v>913</v>
      </c>
      <c r="F17" s="196" t="s">
        <v>177</v>
      </c>
      <c r="G17" s="398">
        <v>35</v>
      </c>
      <c r="H17" s="197"/>
      <c r="I17" s="400">
        <f t="shared" ref="I17:I34" si="1">H17*G17</f>
        <v>0</v>
      </c>
    </row>
    <row r="18" spans="1:9" s="193" customFormat="1" ht="27.6" x14ac:dyDescent="0.25">
      <c r="B18" s="482"/>
      <c r="C18" s="482"/>
      <c r="D18" s="114" t="s">
        <v>248</v>
      </c>
      <c r="E18" s="115" t="s">
        <v>914</v>
      </c>
      <c r="F18" s="8" t="s">
        <v>62</v>
      </c>
      <c r="G18" s="396">
        <v>35</v>
      </c>
      <c r="H18" s="45"/>
      <c r="I18" s="46">
        <f t="shared" si="1"/>
        <v>0</v>
      </c>
    </row>
    <row r="19" spans="1:9" s="193" customFormat="1" ht="41.4" x14ac:dyDescent="0.25">
      <c r="B19" s="482"/>
      <c r="C19" s="482"/>
      <c r="D19" s="114" t="s">
        <v>249</v>
      </c>
      <c r="E19" s="611" t="s">
        <v>646</v>
      </c>
      <c r="F19" s="8" t="s">
        <v>178</v>
      </c>
      <c r="G19" s="396">
        <v>150</v>
      </c>
      <c r="H19" s="45"/>
      <c r="I19" s="46">
        <f t="shared" si="1"/>
        <v>0</v>
      </c>
    </row>
    <row r="20" spans="1:9" s="201" customFormat="1" ht="41.4" x14ac:dyDescent="0.25">
      <c r="B20" s="490"/>
      <c r="C20" s="490"/>
      <c r="D20" s="114" t="s">
        <v>250</v>
      </c>
      <c r="E20" s="611" t="s">
        <v>647</v>
      </c>
      <c r="F20" s="8" t="s">
        <v>179</v>
      </c>
      <c r="G20" s="396">
        <v>150</v>
      </c>
      <c r="H20" s="45"/>
      <c r="I20" s="46">
        <f t="shared" si="1"/>
        <v>0</v>
      </c>
    </row>
    <row r="21" spans="1:9" s="201" customFormat="1" x14ac:dyDescent="0.25">
      <c r="B21" s="490"/>
      <c r="C21" s="490"/>
      <c r="D21" s="114" t="s">
        <v>251</v>
      </c>
      <c r="E21" s="115" t="s">
        <v>917</v>
      </c>
      <c r="F21" s="8" t="s">
        <v>180</v>
      </c>
      <c r="G21" s="396">
        <v>14</v>
      </c>
      <c r="H21" s="45"/>
      <c r="I21" s="46">
        <f t="shared" si="1"/>
        <v>0</v>
      </c>
    </row>
    <row r="22" spans="1:9" s="201" customFormat="1" x14ac:dyDescent="0.25">
      <c r="B22" s="490"/>
      <c r="C22" s="490"/>
      <c r="D22" s="114" t="s">
        <v>252</v>
      </c>
      <c r="E22" s="115" t="s">
        <v>918</v>
      </c>
      <c r="F22" s="8" t="s">
        <v>181</v>
      </c>
      <c r="G22" s="396">
        <v>450</v>
      </c>
      <c r="H22" s="45"/>
      <c r="I22" s="46">
        <f t="shared" si="1"/>
        <v>0</v>
      </c>
    </row>
    <row r="23" spans="1:9" s="201" customFormat="1" x14ac:dyDescent="0.25">
      <c r="B23" s="490"/>
      <c r="C23" s="490"/>
      <c r="D23" s="114" t="s">
        <v>253</v>
      </c>
      <c r="E23" s="115" t="s">
        <v>274</v>
      </c>
      <c r="F23" s="8" t="s">
        <v>182</v>
      </c>
      <c r="G23" s="396">
        <v>450</v>
      </c>
      <c r="H23" s="45"/>
      <c r="I23" s="46">
        <f t="shared" si="1"/>
        <v>0</v>
      </c>
    </row>
    <row r="24" spans="1:9" s="201" customFormat="1" x14ac:dyDescent="0.25">
      <c r="B24" s="490"/>
      <c r="C24" s="490"/>
      <c r="D24" s="114" t="s">
        <v>254</v>
      </c>
      <c r="E24" s="115" t="s">
        <v>275</v>
      </c>
      <c r="F24" s="8" t="s">
        <v>183</v>
      </c>
      <c r="G24" s="396">
        <v>20.5</v>
      </c>
      <c r="H24" s="45"/>
      <c r="I24" s="46">
        <f t="shared" si="1"/>
        <v>0</v>
      </c>
    </row>
    <row r="25" spans="1:9" s="201" customFormat="1" x14ac:dyDescent="0.25">
      <c r="B25" s="490"/>
      <c r="C25" s="490"/>
      <c r="D25" s="114" t="s">
        <v>255</v>
      </c>
      <c r="E25" s="611" t="s">
        <v>648</v>
      </c>
      <c r="F25" s="8" t="s">
        <v>184</v>
      </c>
      <c r="G25" s="396">
        <v>11.5</v>
      </c>
      <c r="H25" s="45"/>
      <c r="I25" s="46">
        <f t="shared" si="1"/>
        <v>0</v>
      </c>
    </row>
    <row r="26" spans="1:9" s="201" customFormat="1" x14ac:dyDescent="0.25">
      <c r="B26" s="490"/>
      <c r="C26" s="490"/>
      <c r="D26" s="114" t="s">
        <v>256</v>
      </c>
      <c r="E26" s="611" t="s">
        <v>919</v>
      </c>
      <c r="F26" s="8" t="s">
        <v>185</v>
      </c>
      <c r="G26" s="396">
        <v>9</v>
      </c>
      <c r="H26" s="45"/>
      <c r="I26" s="46">
        <f t="shared" si="1"/>
        <v>0</v>
      </c>
    </row>
    <row r="27" spans="1:9" s="201" customFormat="1" x14ac:dyDescent="0.25">
      <c r="B27" s="490"/>
      <c r="C27" s="490"/>
      <c r="D27" s="114" t="s">
        <v>257</v>
      </c>
      <c r="E27" s="611" t="s">
        <v>920</v>
      </c>
      <c r="F27" s="8" t="s">
        <v>186</v>
      </c>
      <c r="G27" s="396">
        <v>3.5</v>
      </c>
      <c r="H27" s="45"/>
      <c r="I27" s="46">
        <f t="shared" si="1"/>
        <v>0</v>
      </c>
    </row>
    <row r="28" spans="1:9" s="201" customFormat="1" x14ac:dyDescent="0.25">
      <c r="B28" s="490"/>
      <c r="C28" s="490"/>
      <c r="D28" s="114" t="s">
        <v>258</v>
      </c>
      <c r="E28" s="611" t="s">
        <v>649</v>
      </c>
      <c r="F28" s="8" t="s">
        <v>187</v>
      </c>
      <c r="G28" s="396">
        <v>5</v>
      </c>
      <c r="H28" s="45"/>
      <c r="I28" s="46">
        <f t="shared" si="1"/>
        <v>0</v>
      </c>
    </row>
    <row r="29" spans="1:9" s="201" customFormat="1" x14ac:dyDescent="0.25">
      <c r="B29" s="490"/>
      <c r="C29" s="490"/>
      <c r="D29" s="114" t="s">
        <v>259</v>
      </c>
      <c r="E29" s="611" t="s">
        <v>921</v>
      </c>
      <c r="F29" s="8" t="s">
        <v>188</v>
      </c>
      <c r="G29" s="396">
        <v>27.5</v>
      </c>
      <c r="H29" s="45"/>
      <c r="I29" s="46">
        <f t="shared" si="1"/>
        <v>0</v>
      </c>
    </row>
    <row r="30" spans="1:9" s="201" customFormat="1" x14ac:dyDescent="0.25">
      <c r="B30" s="490"/>
      <c r="C30" s="490"/>
      <c r="D30" s="114" t="s">
        <v>260</v>
      </c>
      <c r="E30" s="611" t="s">
        <v>650</v>
      </c>
      <c r="F30" s="8" t="s">
        <v>189</v>
      </c>
      <c r="G30" s="396">
        <v>27.5</v>
      </c>
      <c r="H30" s="45"/>
      <c r="I30" s="46">
        <f t="shared" si="1"/>
        <v>0</v>
      </c>
    </row>
    <row r="31" spans="1:9" s="201" customFormat="1" x14ac:dyDescent="0.25">
      <c r="B31" s="490"/>
      <c r="C31" s="490"/>
      <c r="D31" s="114"/>
      <c r="E31" s="611" t="s">
        <v>922</v>
      </c>
      <c r="F31" s="8"/>
      <c r="G31" s="396">
        <v>27.5</v>
      </c>
      <c r="H31" s="45"/>
      <c r="I31" s="46">
        <f>H31*G31</f>
        <v>0</v>
      </c>
    </row>
    <row r="32" spans="1:9" s="201" customFormat="1" x14ac:dyDescent="0.25">
      <c r="B32" s="490"/>
      <c r="C32" s="490"/>
      <c r="D32" s="114" t="s">
        <v>261</v>
      </c>
      <c r="E32" s="115" t="s">
        <v>925</v>
      </c>
      <c r="F32" s="8" t="s">
        <v>190</v>
      </c>
      <c r="G32" s="396">
        <v>285</v>
      </c>
      <c r="H32" s="45"/>
      <c r="I32" s="46">
        <f t="shared" si="1"/>
        <v>0</v>
      </c>
    </row>
    <row r="33" spans="1:9" s="201" customFormat="1" x14ac:dyDescent="0.25">
      <c r="A33" s="202"/>
      <c r="B33" s="491"/>
      <c r="C33" s="491"/>
      <c r="D33" s="119"/>
      <c r="E33" s="124" t="s">
        <v>926</v>
      </c>
      <c r="F33" s="15"/>
      <c r="G33" s="397">
        <v>285</v>
      </c>
      <c r="H33" s="45"/>
      <c r="I33" s="46">
        <f>H33*G33</f>
        <v>0</v>
      </c>
    </row>
    <row r="34" spans="1:9" s="201" customFormat="1" ht="27.6" x14ac:dyDescent="0.25">
      <c r="A34" s="202"/>
      <c r="B34" s="491"/>
      <c r="C34" s="491"/>
      <c r="D34" s="119" t="s">
        <v>262</v>
      </c>
      <c r="E34" s="124" t="s">
        <v>651</v>
      </c>
      <c r="F34" s="15" t="s">
        <v>191</v>
      </c>
      <c r="G34" s="397">
        <v>37.5</v>
      </c>
      <c r="H34" s="48"/>
      <c r="I34" s="49">
        <f t="shared" si="1"/>
        <v>0</v>
      </c>
    </row>
    <row r="35" spans="1:9" s="201" customFormat="1" x14ac:dyDescent="0.25">
      <c r="B35" s="490"/>
      <c r="C35" s="678"/>
      <c r="D35" s="679"/>
      <c r="E35" s="124" t="s">
        <v>930</v>
      </c>
      <c r="F35" s="15" t="s">
        <v>929</v>
      </c>
      <c r="G35" s="397">
        <v>37.5</v>
      </c>
      <c r="H35" s="48"/>
      <c r="I35" s="49">
        <f t="shared" ref="I35" si="2">H35*G35</f>
        <v>0</v>
      </c>
    </row>
    <row r="36" spans="1:9" s="201" customFormat="1" ht="14.4" thickBot="1" x14ac:dyDescent="0.3">
      <c r="A36" s="677"/>
      <c r="B36" s="678"/>
      <c r="C36" s="678"/>
      <c r="D36" s="679"/>
      <c r="E36" s="683" t="s">
        <v>935</v>
      </c>
      <c r="F36" s="684"/>
      <c r="G36" s="685">
        <v>150</v>
      </c>
      <c r="H36" s="48"/>
      <c r="I36" s="49">
        <f t="shared" ref="I36" si="3">H36*G36</f>
        <v>0</v>
      </c>
    </row>
    <row r="37" spans="1:9" s="201" customFormat="1" ht="27.6" x14ac:dyDescent="0.25">
      <c r="A37" s="203"/>
      <c r="B37" s="488" t="s">
        <v>266</v>
      </c>
      <c r="C37" s="492"/>
      <c r="D37" s="167" t="s">
        <v>285</v>
      </c>
      <c r="E37" s="168" t="s">
        <v>10</v>
      </c>
      <c r="F37" s="52" t="s">
        <v>17</v>
      </c>
      <c r="G37" s="399">
        <v>501</v>
      </c>
      <c r="H37" s="53"/>
      <c r="I37" s="54">
        <f t="shared" ref="I37:I45" si="4">H37*G37</f>
        <v>0</v>
      </c>
    </row>
    <row r="38" spans="1:9" s="201" customFormat="1" ht="27.6" x14ac:dyDescent="0.25">
      <c r="A38" s="202"/>
      <c r="B38" s="491"/>
      <c r="C38" s="491"/>
      <c r="D38" s="493" t="s">
        <v>286</v>
      </c>
      <c r="E38" s="124" t="s">
        <v>11</v>
      </c>
      <c r="F38" s="15" t="s">
        <v>18</v>
      </c>
      <c r="G38" s="397">
        <v>925</v>
      </c>
      <c r="H38" s="48"/>
      <c r="I38" s="49">
        <f t="shared" si="4"/>
        <v>0</v>
      </c>
    </row>
    <row r="39" spans="1:9" s="201" customFormat="1" ht="27.6" x14ac:dyDescent="0.25">
      <c r="A39" s="204"/>
      <c r="B39" s="484" t="s">
        <v>200</v>
      </c>
      <c r="C39" s="494"/>
      <c r="D39" s="109" t="s">
        <v>287</v>
      </c>
      <c r="E39" s="629" t="s">
        <v>652</v>
      </c>
      <c r="F39" s="196" t="s">
        <v>12</v>
      </c>
      <c r="G39" s="398">
        <v>50</v>
      </c>
      <c r="H39" s="197"/>
      <c r="I39" s="400">
        <f t="shared" si="4"/>
        <v>0</v>
      </c>
    </row>
    <row r="40" spans="1:9" s="201" customFormat="1" ht="27.6" x14ac:dyDescent="0.25">
      <c r="B40" s="490"/>
      <c r="C40" s="490"/>
      <c r="D40" s="114" t="s">
        <v>288</v>
      </c>
      <c r="E40" s="611" t="s">
        <v>653</v>
      </c>
      <c r="F40" s="8" t="s">
        <v>13</v>
      </c>
      <c r="G40" s="396">
        <v>50</v>
      </c>
      <c r="H40" s="45"/>
      <c r="I40" s="46">
        <f t="shared" si="4"/>
        <v>0</v>
      </c>
    </row>
    <row r="41" spans="1:9" s="201" customFormat="1" x14ac:dyDescent="0.25">
      <c r="B41" s="490"/>
      <c r="C41" s="490"/>
      <c r="D41" s="114" t="s">
        <v>289</v>
      </c>
      <c r="E41" s="611" t="s">
        <v>654</v>
      </c>
      <c r="F41" s="8" t="s">
        <v>14</v>
      </c>
      <c r="G41" s="396">
        <v>65</v>
      </c>
      <c r="H41" s="45"/>
      <c r="I41" s="46">
        <f t="shared" si="4"/>
        <v>0</v>
      </c>
    </row>
    <row r="42" spans="1:9" s="201" customFormat="1" x14ac:dyDescent="0.25">
      <c r="B42" s="490"/>
      <c r="C42" s="490"/>
      <c r="D42" s="114" t="s">
        <v>290</v>
      </c>
      <c r="E42" s="611" t="s">
        <v>655</v>
      </c>
      <c r="F42" s="8" t="s">
        <v>15</v>
      </c>
      <c r="G42" s="396">
        <v>75</v>
      </c>
      <c r="H42" s="45"/>
      <c r="I42" s="46">
        <f t="shared" si="4"/>
        <v>0</v>
      </c>
    </row>
    <row r="43" spans="1:9" s="201" customFormat="1" x14ac:dyDescent="0.25">
      <c r="B43" s="490"/>
      <c r="C43" s="490"/>
      <c r="D43" s="114" t="s">
        <v>291</v>
      </c>
      <c r="E43" s="611" t="s">
        <v>656</v>
      </c>
      <c r="F43" s="8" t="s">
        <v>16</v>
      </c>
      <c r="G43" s="396">
        <v>14</v>
      </c>
      <c r="H43" s="45"/>
      <c r="I43" s="46">
        <f t="shared" si="4"/>
        <v>0</v>
      </c>
    </row>
    <row r="44" spans="1:9" s="201" customFormat="1" x14ac:dyDescent="0.25">
      <c r="B44" s="490"/>
      <c r="C44" s="490"/>
      <c r="D44" s="114" t="s">
        <v>292</v>
      </c>
      <c r="E44" s="611" t="s">
        <v>657</v>
      </c>
      <c r="F44" s="8" t="s">
        <v>100</v>
      </c>
      <c r="G44" s="396">
        <v>11.5</v>
      </c>
      <c r="H44" s="45"/>
      <c r="I44" s="46">
        <f t="shared" si="4"/>
        <v>0</v>
      </c>
    </row>
    <row r="45" spans="1:9" s="201" customFormat="1" x14ac:dyDescent="0.25">
      <c r="A45" s="202"/>
      <c r="B45" s="491"/>
      <c r="C45" s="491"/>
      <c r="D45" s="114" t="s">
        <v>293</v>
      </c>
      <c r="E45" s="628" t="s">
        <v>658</v>
      </c>
      <c r="F45" s="15" t="s">
        <v>101</v>
      </c>
      <c r="G45" s="397">
        <v>62</v>
      </c>
      <c r="H45" s="48"/>
      <c r="I45" s="49">
        <f t="shared" si="4"/>
        <v>0</v>
      </c>
    </row>
    <row r="46" spans="1:9" s="201" customFormat="1" ht="14.4" thickBot="1" x14ac:dyDescent="0.35">
      <c r="E46" s="8"/>
      <c r="F46" s="129"/>
      <c r="H46" s="5"/>
      <c r="I46" s="476"/>
    </row>
    <row r="47" spans="1:9" ht="24" customHeight="1" thickTop="1" thickBot="1" x14ac:dyDescent="0.35">
      <c r="A47" s="40"/>
      <c r="B47" s="205" t="s">
        <v>666</v>
      </c>
      <c r="C47" s="40"/>
      <c r="D47" s="40"/>
      <c r="E47" s="40"/>
      <c r="F47" s="40"/>
      <c r="G47" s="40"/>
      <c r="H47" s="40"/>
      <c r="I47" s="401">
        <f>SUM(I4:I46)</f>
        <v>0</v>
      </c>
    </row>
    <row r="48" spans="1:9" ht="14.4" thickTop="1" x14ac:dyDescent="0.3"/>
    <row r="50" spans="1:9" ht="36" customHeight="1" x14ac:dyDescent="0.3">
      <c r="A50" s="651" t="s">
        <v>273</v>
      </c>
      <c r="B50" s="651"/>
      <c r="C50" s="651"/>
      <c r="D50" s="651"/>
      <c r="E50" s="651"/>
      <c r="F50" s="651"/>
      <c r="G50" s="651"/>
      <c r="H50" s="651"/>
      <c r="I50" s="651"/>
    </row>
    <row r="51" spans="1:9" ht="30" customHeight="1" x14ac:dyDescent="0.3">
      <c r="A51" s="206"/>
      <c r="B51" s="495"/>
      <c r="C51" s="495"/>
      <c r="D51" s="496" t="s">
        <v>264</v>
      </c>
      <c r="E51" s="496" t="s">
        <v>205</v>
      </c>
      <c r="F51" s="207" t="s">
        <v>165</v>
      </c>
      <c r="G51" s="478" t="s">
        <v>127</v>
      </c>
      <c r="H51" s="479" t="s">
        <v>213</v>
      </c>
      <c r="I51" s="497" t="s">
        <v>214</v>
      </c>
    </row>
    <row r="52" spans="1:9" ht="27.6" x14ac:dyDescent="0.3">
      <c r="A52" s="193"/>
      <c r="B52" s="481" t="s">
        <v>265</v>
      </c>
      <c r="C52" s="482"/>
      <c r="D52" s="114" t="s">
        <v>280</v>
      </c>
      <c r="E52" s="115" t="s">
        <v>932</v>
      </c>
      <c r="F52" s="8" t="s">
        <v>117</v>
      </c>
      <c r="G52" s="396">
        <v>336</v>
      </c>
      <c r="H52" s="45"/>
      <c r="I52" s="46">
        <f t="shared" ref="I52:I64" si="5">H52*G52</f>
        <v>0</v>
      </c>
    </row>
    <row r="53" spans="1:9" x14ac:dyDescent="0.3">
      <c r="A53" s="194"/>
      <c r="B53" s="483"/>
      <c r="C53" s="483"/>
      <c r="D53" s="119" t="s">
        <v>263</v>
      </c>
      <c r="E53" s="124" t="s">
        <v>934</v>
      </c>
      <c r="F53" s="15" t="s">
        <v>129</v>
      </c>
      <c r="G53" s="397">
        <v>150</v>
      </c>
      <c r="H53" s="48"/>
      <c r="I53" s="49">
        <f t="shared" si="5"/>
        <v>0</v>
      </c>
    </row>
    <row r="54" spans="1:9" x14ac:dyDescent="0.3">
      <c r="A54" s="195"/>
      <c r="B54" s="484" t="s">
        <v>668</v>
      </c>
      <c r="C54" s="485"/>
      <c r="D54" s="486" t="s">
        <v>247</v>
      </c>
      <c r="E54" s="487" t="s">
        <v>659</v>
      </c>
      <c r="F54" s="196" t="s">
        <v>177</v>
      </c>
      <c r="G54" s="398">
        <v>35</v>
      </c>
      <c r="H54" s="197"/>
      <c r="I54" s="400">
        <f t="shared" si="5"/>
        <v>0</v>
      </c>
    </row>
    <row r="55" spans="1:9" ht="13.95" customHeight="1" x14ac:dyDescent="0.3">
      <c r="A55" s="193"/>
      <c r="B55" s="482"/>
      <c r="C55" s="482"/>
      <c r="D55" s="114" t="s">
        <v>248</v>
      </c>
      <c r="E55" s="115" t="s">
        <v>660</v>
      </c>
      <c r="F55" s="8" t="s">
        <v>62</v>
      </c>
      <c r="G55" s="396">
        <v>35</v>
      </c>
      <c r="H55" s="45"/>
      <c r="I55" s="46">
        <f t="shared" si="5"/>
        <v>0</v>
      </c>
    </row>
    <row r="56" spans="1:9" x14ac:dyDescent="0.3">
      <c r="A56" s="201"/>
      <c r="B56" s="490"/>
      <c r="C56" s="490"/>
      <c r="D56" s="114" t="s">
        <v>252</v>
      </c>
      <c r="E56" s="115" t="s">
        <v>277</v>
      </c>
      <c r="F56" s="8" t="s">
        <v>181</v>
      </c>
      <c r="G56" s="396">
        <v>450</v>
      </c>
      <c r="H56" s="45"/>
      <c r="I56" s="46">
        <f t="shared" si="5"/>
        <v>0</v>
      </c>
    </row>
    <row r="57" spans="1:9" x14ac:dyDescent="0.3">
      <c r="A57" s="201"/>
      <c r="B57" s="490"/>
      <c r="C57" s="490"/>
      <c r="D57" s="114" t="s">
        <v>253</v>
      </c>
      <c r="E57" s="115" t="s">
        <v>276</v>
      </c>
      <c r="F57" s="8" t="s">
        <v>182</v>
      </c>
      <c r="G57" s="396">
        <v>450</v>
      </c>
      <c r="H57" s="45"/>
      <c r="I57" s="46">
        <f t="shared" si="5"/>
        <v>0</v>
      </c>
    </row>
    <row r="58" spans="1:9" x14ac:dyDescent="0.3">
      <c r="A58" s="208"/>
      <c r="B58" s="490"/>
      <c r="C58" s="490"/>
      <c r="D58" s="114" t="s">
        <v>254</v>
      </c>
      <c r="E58" s="115" t="s">
        <v>278</v>
      </c>
      <c r="F58" s="8" t="s">
        <v>183</v>
      </c>
      <c r="G58" s="396">
        <v>20.5</v>
      </c>
      <c r="H58" s="45"/>
      <c r="I58" s="46">
        <f t="shared" si="5"/>
        <v>0</v>
      </c>
    </row>
    <row r="59" spans="1:9" x14ac:dyDescent="0.3">
      <c r="A59" s="201"/>
      <c r="B59" s="490"/>
      <c r="C59" s="490"/>
      <c r="D59" s="114" t="s">
        <v>255</v>
      </c>
      <c r="E59" s="611" t="s">
        <v>661</v>
      </c>
      <c r="F59" s="8" t="s">
        <v>184</v>
      </c>
      <c r="G59" s="396">
        <v>11.5</v>
      </c>
      <c r="H59" s="45"/>
      <c r="I59" s="46">
        <f t="shared" si="5"/>
        <v>0</v>
      </c>
    </row>
    <row r="60" spans="1:9" x14ac:dyDescent="0.3">
      <c r="A60" s="201"/>
      <c r="B60" s="490"/>
      <c r="C60" s="490"/>
      <c r="D60" s="114" t="s">
        <v>256</v>
      </c>
      <c r="E60" s="611" t="s">
        <v>662</v>
      </c>
      <c r="F60" s="8" t="s">
        <v>185</v>
      </c>
      <c r="G60" s="396">
        <v>9</v>
      </c>
      <c r="H60" s="45"/>
      <c r="I60" s="46">
        <f t="shared" si="5"/>
        <v>0</v>
      </c>
    </row>
    <row r="61" spans="1:9" x14ac:dyDescent="0.3">
      <c r="A61" s="201"/>
      <c r="B61" s="490"/>
      <c r="C61" s="490"/>
      <c r="D61" s="114" t="s">
        <v>258</v>
      </c>
      <c r="E61" s="611" t="s">
        <v>663</v>
      </c>
      <c r="F61" s="8" t="s">
        <v>187</v>
      </c>
      <c r="G61" s="396">
        <v>5</v>
      </c>
      <c r="H61" s="45"/>
      <c r="I61" s="46">
        <f t="shared" si="5"/>
        <v>0</v>
      </c>
    </row>
    <row r="62" spans="1:9" x14ac:dyDescent="0.3">
      <c r="A62" s="201"/>
      <c r="B62" s="490"/>
      <c r="C62" s="490"/>
      <c r="D62" s="114" t="s">
        <v>260</v>
      </c>
      <c r="E62" s="115" t="s">
        <v>279</v>
      </c>
      <c r="F62" s="8" t="s">
        <v>189</v>
      </c>
      <c r="G62" s="396">
        <v>27.5</v>
      </c>
      <c r="H62" s="45"/>
      <c r="I62" s="46">
        <f t="shared" si="5"/>
        <v>0</v>
      </c>
    </row>
    <row r="63" spans="1:9" x14ac:dyDescent="0.3">
      <c r="A63" s="201"/>
      <c r="B63" s="490"/>
      <c r="C63" s="490"/>
      <c r="D63" s="114" t="s">
        <v>261</v>
      </c>
      <c r="E63" s="115" t="s">
        <v>933</v>
      </c>
      <c r="F63" s="8" t="s">
        <v>190</v>
      </c>
      <c r="G63" s="396">
        <v>285</v>
      </c>
      <c r="H63" s="45"/>
      <c r="I63" s="46">
        <f t="shared" si="5"/>
        <v>0</v>
      </c>
    </row>
    <row r="64" spans="1:9" ht="27.6" x14ac:dyDescent="0.3">
      <c r="A64" s="202"/>
      <c r="B64" s="491"/>
      <c r="C64" s="491"/>
      <c r="D64" s="119" t="s">
        <v>262</v>
      </c>
      <c r="E64" s="124" t="s">
        <v>651</v>
      </c>
      <c r="F64" s="15" t="s">
        <v>191</v>
      </c>
      <c r="G64" s="397">
        <v>37.5</v>
      </c>
      <c r="H64" s="48"/>
      <c r="I64" s="49">
        <f t="shared" si="5"/>
        <v>0</v>
      </c>
    </row>
    <row r="65" spans="1:9" ht="13.95" customHeight="1" thickBot="1" x14ac:dyDescent="0.35">
      <c r="I65" s="216"/>
    </row>
    <row r="66" spans="1:9" ht="24" customHeight="1" thickTop="1" thickBot="1" x14ac:dyDescent="0.35">
      <c r="A66" s="40"/>
      <c r="B66" s="205" t="s">
        <v>667</v>
      </c>
      <c r="C66" s="40"/>
      <c r="D66" s="40"/>
      <c r="E66" s="40"/>
      <c r="F66" s="40"/>
      <c r="G66" s="40"/>
      <c r="H66" s="40"/>
      <c r="I66" s="401">
        <f>SUM(I52:I65)</f>
        <v>0</v>
      </c>
    </row>
    <row r="67" spans="1:9" ht="30" customHeight="1" thickTop="1" thickBot="1" x14ac:dyDescent="0.35"/>
    <row r="68" spans="1:9" ht="30" customHeight="1" thickBot="1" x14ac:dyDescent="0.35">
      <c r="A68" s="209"/>
      <c r="B68" s="210" t="s">
        <v>669</v>
      </c>
      <c r="C68" s="60"/>
      <c r="D68" s="61"/>
      <c r="E68" s="211"/>
      <c r="F68" s="62"/>
      <c r="G68" s="60"/>
      <c r="H68" s="60"/>
      <c r="I68" s="289">
        <f>I47+I66</f>
        <v>0</v>
      </c>
    </row>
    <row r="69" spans="1:9" ht="30" customHeight="1" x14ac:dyDescent="0.3"/>
    <row r="70" spans="1:9" ht="30" customHeight="1" x14ac:dyDescent="0.3"/>
    <row r="71" spans="1:9" ht="30" customHeight="1" x14ac:dyDescent="0.3"/>
    <row r="72" spans="1:9" ht="43.95" customHeight="1" x14ac:dyDescent="0.3">
      <c r="A72" s="103" t="s">
        <v>534</v>
      </c>
      <c r="B72" s="498"/>
      <c r="C72" s="498"/>
      <c r="D72" s="498"/>
      <c r="E72" s="498"/>
      <c r="F72" s="498"/>
      <c r="G72" s="499"/>
      <c r="H72" s="499"/>
      <c r="I72" s="499"/>
    </row>
    <row r="73" spans="1:9" ht="13.95" customHeight="1" x14ac:dyDescent="0.3">
      <c r="B73" s="439" t="s">
        <v>670</v>
      </c>
      <c r="C73" s="439"/>
      <c r="D73" s="439"/>
      <c r="E73" s="439" t="s">
        <v>536</v>
      </c>
      <c r="F73" s="439" t="s">
        <v>165</v>
      </c>
      <c r="G73" s="627" t="s">
        <v>520</v>
      </c>
      <c r="H73" s="437" t="s">
        <v>521</v>
      </c>
      <c r="I73" s="437" t="s">
        <v>629</v>
      </c>
    </row>
    <row r="74" spans="1:9" x14ac:dyDescent="0.3">
      <c r="B74" s="114" t="s">
        <v>239</v>
      </c>
      <c r="C74" s="212"/>
      <c r="D74" s="115"/>
      <c r="E74" s="212" t="s">
        <v>192</v>
      </c>
      <c r="F74" s="115" t="s">
        <v>95</v>
      </c>
      <c r="G74" s="396">
        <v>878</v>
      </c>
      <c r="H74" s="160">
        <f>H4</f>
        <v>0</v>
      </c>
      <c r="I74" s="46">
        <f t="shared" ref="I74:I83" si="6">H74*G74</f>
        <v>0</v>
      </c>
    </row>
    <row r="75" spans="1:9" x14ac:dyDescent="0.3">
      <c r="B75" s="114" t="s">
        <v>349</v>
      </c>
      <c r="C75" s="212"/>
      <c r="D75" s="115"/>
      <c r="E75" s="584" t="s">
        <v>351</v>
      </c>
      <c r="F75" s="115"/>
      <c r="G75" s="396">
        <v>470</v>
      </c>
      <c r="H75" s="160">
        <f>H5</f>
        <v>0</v>
      </c>
      <c r="I75" s="46">
        <f>H75*G75</f>
        <v>0</v>
      </c>
    </row>
    <row r="76" spans="1:9" x14ac:dyDescent="0.3">
      <c r="B76" s="114" t="s">
        <v>240</v>
      </c>
      <c r="C76" s="212"/>
      <c r="D76" s="115"/>
      <c r="E76" s="212" t="s">
        <v>94</v>
      </c>
      <c r="F76" s="115" t="s">
        <v>419</v>
      </c>
      <c r="G76" s="396">
        <v>1010</v>
      </c>
      <c r="H76" s="160">
        <f>H6</f>
        <v>0</v>
      </c>
      <c r="I76" s="46">
        <f t="shared" si="6"/>
        <v>0</v>
      </c>
    </row>
    <row r="77" spans="1:9" ht="27.6" x14ac:dyDescent="0.3">
      <c r="B77" s="119" t="s">
        <v>281</v>
      </c>
      <c r="C77" s="124"/>
      <c r="D77" s="124"/>
      <c r="E77" s="124" t="s">
        <v>156</v>
      </c>
      <c r="F77" s="124" t="s">
        <v>157</v>
      </c>
      <c r="G77" s="397">
        <v>40</v>
      </c>
      <c r="H77" s="160">
        <f>H7</f>
        <v>0</v>
      </c>
      <c r="I77" s="49">
        <f t="shared" si="6"/>
        <v>0</v>
      </c>
    </row>
    <row r="78" spans="1:9" x14ac:dyDescent="0.3">
      <c r="B78" s="114" t="s">
        <v>282</v>
      </c>
      <c r="C78" s="115"/>
      <c r="D78" s="115"/>
      <c r="E78" s="115" t="s">
        <v>118</v>
      </c>
      <c r="F78" s="115" t="s">
        <v>295</v>
      </c>
      <c r="G78" s="396">
        <v>73</v>
      </c>
      <c r="H78" s="160">
        <f>H8</f>
        <v>0</v>
      </c>
      <c r="I78" s="46">
        <f t="shared" si="6"/>
        <v>0</v>
      </c>
    </row>
    <row r="79" spans="1:9" x14ac:dyDescent="0.3">
      <c r="B79" s="114" t="s">
        <v>283</v>
      </c>
      <c r="C79" s="115"/>
      <c r="D79" s="115"/>
      <c r="E79" s="115" t="s">
        <v>119</v>
      </c>
      <c r="F79" s="115" t="s">
        <v>294</v>
      </c>
      <c r="G79" s="396">
        <v>73</v>
      </c>
      <c r="H79" s="160">
        <f>H9</f>
        <v>0</v>
      </c>
      <c r="I79" s="46">
        <f t="shared" si="6"/>
        <v>0</v>
      </c>
    </row>
    <row r="80" spans="1:9" x14ac:dyDescent="0.3">
      <c r="B80" s="114" t="s">
        <v>241</v>
      </c>
      <c r="C80" s="115"/>
      <c r="D80" s="115"/>
      <c r="E80" s="611" t="s">
        <v>641</v>
      </c>
      <c r="F80" s="115" t="s">
        <v>115</v>
      </c>
      <c r="G80" s="396">
        <v>303</v>
      </c>
      <c r="H80" s="160">
        <f>H10</f>
        <v>0</v>
      </c>
      <c r="I80" s="46">
        <f t="shared" si="6"/>
        <v>0</v>
      </c>
    </row>
    <row r="81" spans="2:9" x14ac:dyDescent="0.3">
      <c r="B81" s="114" t="s">
        <v>242</v>
      </c>
      <c r="C81" s="115"/>
      <c r="D81" s="115"/>
      <c r="E81" s="611" t="s">
        <v>642</v>
      </c>
      <c r="F81" s="115" t="s">
        <v>90</v>
      </c>
      <c r="G81" s="396">
        <v>270</v>
      </c>
      <c r="H81" s="160">
        <f>H11</f>
        <v>0</v>
      </c>
      <c r="I81" s="46">
        <f t="shared" si="6"/>
        <v>0</v>
      </c>
    </row>
    <row r="82" spans="2:9" x14ac:dyDescent="0.3">
      <c r="B82" s="114" t="s">
        <v>243</v>
      </c>
      <c r="C82" s="115"/>
      <c r="D82" s="115"/>
      <c r="E82" s="611" t="s">
        <v>643</v>
      </c>
      <c r="F82" s="115" t="s">
        <v>93</v>
      </c>
      <c r="G82" s="396">
        <v>202</v>
      </c>
      <c r="H82" s="160">
        <f>H12</f>
        <v>0</v>
      </c>
      <c r="I82" s="46">
        <f t="shared" si="6"/>
        <v>0</v>
      </c>
    </row>
    <row r="83" spans="2:9" ht="27.6" x14ac:dyDescent="0.3">
      <c r="B83" s="114" t="s">
        <v>244</v>
      </c>
      <c r="C83" s="115"/>
      <c r="D83" s="115"/>
      <c r="E83" s="611" t="s">
        <v>887</v>
      </c>
      <c r="F83" s="115" t="s">
        <v>91</v>
      </c>
      <c r="G83" s="396">
        <v>427</v>
      </c>
      <c r="H83" s="160">
        <f>H13</f>
        <v>0</v>
      </c>
      <c r="I83" s="46">
        <f t="shared" si="6"/>
        <v>0</v>
      </c>
    </row>
    <row r="84" spans="2:9" ht="27.6" x14ac:dyDescent="0.3">
      <c r="B84" s="119" t="s">
        <v>284</v>
      </c>
      <c r="C84" s="124"/>
      <c r="D84" s="124"/>
      <c r="E84" s="124" t="s">
        <v>644</v>
      </c>
      <c r="F84" s="124" t="s">
        <v>116</v>
      </c>
      <c r="G84" s="397">
        <v>948</v>
      </c>
      <c r="H84" s="160">
        <f>H14</f>
        <v>0</v>
      </c>
      <c r="I84" s="49">
        <f>H84*G84</f>
        <v>0</v>
      </c>
    </row>
    <row r="85" spans="2:9" x14ac:dyDescent="0.3">
      <c r="B85" s="114" t="s">
        <v>912</v>
      </c>
      <c r="C85" s="115"/>
      <c r="D85" s="115"/>
      <c r="E85" s="115" t="s">
        <v>911</v>
      </c>
      <c r="F85" s="115" t="s">
        <v>154</v>
      </c>
      <c r="G85" s="396">
        <v>99</v>
      </c>
      <c r="H85" s="160">
        <f>H15</f>
        <v>0</v>
      </c>
      <c r="I85" s="46">
        <f t="shared" ref="I85:I115" si="7">H85*G85</f>
        <v>0</v>
      </c>
    </row>
    <row r="86" spans="2:9" x14ac:dyDescent="0.3">
      <c r="B86" s="119" t="s">
        <v>246</v>
      </c>
      <c r="C86" s="124"/>
      <c r="D86" s="124"/>
      <c r="E86" s="124" t="s">
        <v>176</v>
      </c>
      <c r="F86" s="124" t="s">
        <v>155</v>
      </c>
      <c r="G86" s="397">
        <v>285</v>
      </c>
      <c r="H86" s="160">
        <f>H16</f>
        <v>0</v>
      </c>
      <c r="I86" s="49">
        <f t="shared" si="7"/>
        <v>0</v>
      </c>
    </row>
    <row r="87" spans="2:9" x14ac:dyDescent="0.3">
      <c r="B87" s="114" t="s">
        <v>247</v>
      </c>
      <c r="C87" s="115"/>
      <c r="D87" s="115"/>
      <c r="E87" s="115" t="s">
        <v>915</v>
      </c>
      <c r="F87" s="115" t="s">
        <v>177</v>
      </c>
      <c r="G87" s="396">
        <v>35</v>
      </c>
      <c r="H87" s="160">
        <f>H17</f>
        <v>0</v>
      </c>
      <c r="I87" s="46">
        <f t="shared" si="7"/>
        <v>0</v>
      </c>
    </row>
    <row r="88" spans="2:9" ht="27.6" x14ac:dyDescent="0.3">
      <c r="B88" s="114" t="s">
        <v>248</v>
      </c>
      <c r="C88" s="115"/>
      <c r="D88" s="115"/>
      <c r="E88" s="115" t="s">
        <v>916</v>
      </c>
      <c r="F88" s="115" t="s">
        <v>62</v>
      </c>
      <c r="G88" s="396">
        <v>35</v>
      </c>
      <c r="H88" s="160">
        <f>H18</f>
        <v>0</v>
      </c>
      <c r="I88" s="46">
        <f t="shared" si="7"/>
        <v>0</v>
      </c>
    </row>
    <row r="89" spans="2:9" ht="41.4" x14ac:dyDescent="0.3">
      <c r="B89" s="114" t="s">
        <v>249</v>
      </c>
      <c r="C89" s="115"/>
      <c r="D89" s="115"/>
      <c r="E89" s="611" t="s">
        <v>646</v>
      </c>
      <c r="F89" s="115" t="s">
        <v>178</v>
      </c>
      <c r="G89" s="396">
        <v>150</v>
      </c>
      <c r="H89" s="160">
        <f>H19</f>
        <v>0</v>
      </c>
      <c r="I89" s="46">
        <f t="shared" si="7"/>
        <v>0</v>
      </c>
    </row>
    <row r="90" spans="2:9" ht="41.4" x14ac:dyDescent="0.3">
      <c r="B90" s="114" t="s">
        <v>250</v>
      </c>
      <c r="C90" s="115"/>
      <c r="D90" s="115"/>
      <c r="E90" s="611" t="s">
        <v>647</v>
      </c>
      <c r="F90" s="115" t="s">
        <v>179</v>
      </c>
      <c r="G90" s="396">
        <v>150</v>
      </c>
      <c r="H90" s="160">
        <f>H20</f>
        <v>0</v>
      </c>
      <c r="I90" s="46">
        <f t="shared" si="7"/>
        <v>0</v>
      </c>
    </row>
    <row r="91" spans="2:9" x14ac:dyDescent="0.3">
      <c r="B91" s="114" t="s">
        <v>251</v>
      </c>
      <c r="C91" s="115"/>
      <c r="D91" s="115"/>
      <c r="E91" s="115" t="s">
        <v>917</v>
      </c>
      <c r="F91" s="115" t="s">
        <v>180</v>
      </c>
      <c r="G91" s="396">
        <v>14</v>
      </c>
      <c r="H91" s="160">
        <f>H21</f>
        <v>0</v>
      </c>
      <c r="I91" s="46">
        <f t="shared" si="7"/>
        <v>0</v>
      </c>
    </row>
    <row r="92" spans="2:9" x14ac:dyDescent="0.3">
      <c r="B92" s="114" t="s">
        <v>252</v>
      </c>
      <c r="C92" s="115"/>
      <c r="D92" s="115"/>
      <c r="E92" s="115" t="s">
        <v>936</v>
      </c>
      <c r="F92" s="115" t="s">
        <v>181</v>
      </c>
      <c r="G92" s="396">
        <v>450</v>
      </c>
      <c r="H92" s="160">
        <f>H22</f>
        <v>0</v>
      </c>
      <c r="I92" s="46">
        <f t="shared" si="7"/>
        <v>0</v>
      </c>
    </row>
    <row r="93" spans="2:9" x14ac:dyDescent="0.3">
      <c r="B93" s="114" t="s">
        <v>253</v>
      </c>
      <c r="C93" s="115"/>
      <c r="D93" s="115"/>
      <c r="E93" s="115" t="s">
        <v>274</v>
      </c>
      <c r="F93" s="115" t="s">
        <v>182</v>
      </c>
      <c r="G93" s="396">
        <v>450</v>
      </c>
      <c r="H93" s="160">
        <f>H23</f>
        <v>0</v>
      </c>
      <c r="I93" s="46">
        <f t="shared" si="7"/>
        <v>0</v>
      </c>
    </row>
    <row r="94" spans="2:9" x14ac:dyDescent="0.3">
      <c r="B94" s="114" t="s">
        <v>254</v>
      </c>
      <c r="C94" s="115"/>
      <c r="D94" s="115"/>
      <c r="E94" s="115" t="s">
        <v>275</v>
      </c>
      <c r="F94" s="115" t="s">
        <v>183</v>
      </c>
      <c r="G94" s="396">
        <v>20.5</v>
      </c>
      <c r="H94" s="160">
        <f>H24</f>
        <v>0</v>
      </c>
      <c r="I94" s="46">
        <f t="shared" si="7"/>
        <v>0</v>
      </c>
    </row>
    <row r="95" spans="2:9" x14ac:dyDescent="0.3">
      <c r="B95" s="114" t="s">
        <v>255</v>
      </c>
      <c r="C95" s="115"/>
      <c r="D95" s="115"/>
      <c r="E95" s="611" t="s">
        <v>648</v>
      </c>
      <c r="F95" s="115" t="s">
        <v>184</v>
      </c>
      <c r="G95" s="396">
        <v>11.5</v>
      </c>
      <c r="H95" s="160">
        <f>H25</f>
        <v>0</v>
      </c>
      <c r="I95" s="46">
        <f t="shared" si="7"/>
        <v>0</v>
      </c>
    </row>
    <row r="96" spans="2:9" x14ac:dyDescent="0.3">
      <c r="B96" s="114" t="s">
        <v>256</v>
      </c>
      <c r="C96" s="115"/>
      <c r="D96" s="115"/>
      <c r="E96" s="611" t="s">
        <v>919</v>
      </c>
      <c r="F96" s="115" t="s">
        <v>185</v>
      </c>
      <c r="G96" s="396">
        <v>9</v>
      </c>
      <c r="H96" s="160">
        <f>H26</f>
        <v>0</v>
      </c>
      <c r="I96" s="46">
        <f t="shared" si="7"/>
        <v>0</v>
      </c>
    </row>
    <row r="97" spans="2:9" x14ac:dyDescent="0.3">
      <c r="B97" s="114" t="s">
        <v>257</v>
      </c>
      <c r="C97" s="115"/>
      <c r="D97" s="115"/>
      <c r="E97" s="611" t="s">
        <v>920</v>
      </c>
      <c r="F97" s="115" t="s">
        <v>186</v>
      </c>
      <c r="G97" s="396">
        <v>3.5</v>
      </c>
      <c r="H97" s="160">
        <f>H27</f>
        <v>0</v>
      </c>
      <c r="I97" s="46">
        <f t="shared" si="7"/>
        <v>0</v>
      </c>
    </row>
    <row r="98" spans="2:9" x14ac:dyDescent="0.3">
      <c r="B98" s="114" t="s">
        <v>258</v>
      </c>
      <c r="C98" s="115"/>
      <c r="D98" s="115"/>
      <c r="E98" s="611" t="s">
        <v>649</v>
      </c>
      <c r="F98" s="115" t="s">
        <v>187</v>
      </c>
      <c r="G98" s="396">
        <v>5</v>
      </c>
      <c r="H98" s="160">
        <f>H28</f>
        <v>0</v>
      </c>
      <c r="I98" s="46">
        <f t="shared" si="7"/>
        <v>0</v>
      </c>
    </row>
    <row r="99" spans="2:9" x14ac:dyDescent="0.3">
      <c r="B99" s="114" t="s">
        <v>259</v>
      </c>
      <c r="C99" s="115"/>
      <c r="D99" s="115"/>
      <c r="E99" s="611" t="s">
        <v>921</v>
      </c>
      <c r="F99" s="115" t="s">
        <v>188</v>
      </c>
      <c r="G99" s="396">
        <v>27.5</v>
      </c>
      <c r="H99" s="160">
        <f>H29</f>
        <v>0</v>
      </c>
      <c r="I99" s="46">
        <f t="shared" si="7"/>
        <v>0</v>
      </c>
    </row>
    <row r="100" spans="2:9" x14ac:dyDescent="0.3">
      <c r="B100" s="114" t="s">
        <v>260</v>
      </c>
      <c r="C100" s="115"/>
      <c r="D100" s="115"/>
      <c r="E100" s="611" t="s">
        <v>650</v>
      </c>
      <c r="F100" s="115" t="s">
        <v>189</v>
      </c>
      <c r="G100" s="396">
        <v>27.5</v>
      </c>
      <c r="H100" s="160">
        <f>H30</f>
        <v>0</v>
      </c>
      <c r="I100" s="46">
        <f t="shared" si="7"/>
        <v>0</v>
      </c>
    </row>
    <row r="101" spans="2:9" x14ac:dyDescent="0.3">
      <c r="B101" s="114" t="s">
        <v>924</v>
      </c>
      <c r="C101" s="115"/>
      <c r="D101" s="115"/>
      <c r="E101" s="611" t="s">
        <v>922</v>
      </c>
      <c r="F101" s="115" t="s">
        <v>923</v>
      </c>
      <c r="G101" s="396">
        <v>27.5</v>
      </c>
      <c r="H101" s="160">
        <f>H31</f>
        <v>0</v>
      </c>
      <c r="I101" s="46">
        <f t="shared" ref="I101" si="8">H101*G101</f>
        <v>0</v>
      </c>
    </row>
    <row r="102" spans="2:9" x14ac:dyDescent="0.3">
      <c r="B102" s="114" t="s">
        <v>261</v>
      </c>
      <c r="C102" s="115"/>
      <c r="D102" s="115"/>
      <c r="E102" s="115" t="s">
        <v>925</v>
      </c>
      <c r="F102" s="115" t="s">
        <v>190</v>
      </c>
      <c r="G102" s="396">
        <v>285</v>
      </c>
      <c r="H102" s="160">
        <f>H32</f>
        <v>0</v>
      </c>
      <c r="I102" s="46">
        <f t="shared" si="7"/>
        <v>0</v>
      </c>
    </row>
    <row r="103" spans="2:9" x14ac:dyDescent="0.3">
      <c r="B103" s="114" t="s">
        <v>928</v>
      </c>
      <c r="C103" s="115"/>
      <c r="D103" s="115"/>
      <c r="E103" s="115" t="s">
        <v>926</v>
      </c>
      <c r="F103" s="115" t="s">
        <v>927</v>
      </c>
      <c r="G103" s="396">
        <v>285</v>
      </c>
      <c r="H103" s="160">
        <f>H33</f>
        <v>0</v>
      </c>
      <c r="I103" s="46">
        <f>H103*G103</f>
        <v>0</v>
      </c>
    </row>
    <row r="104" spans="2:9" ht="27.6" x14ac:dyDescent="0.3">
      <c r="B104" s="119" t="s">
        <v>262</v>
      </c>
      <c r="C104" s="124"/>
      <c r="D104" s="124"/>
      <c r="E104" s="124" t="s">
        <v>651</v>
      </c>
      <c r="F104" s="124" t="s">
        <v>191</v>
      </c>
      <c r="G104" s="397">
        <v>37.5</v>
      </c>
      <c r="H104" s="160">
        <f>H34</f>
        <v>0</v>
      </c>
      <c r="I104" s="49">
        <f t="shared" si="7"/>
        <v>0</v>
      </c>
    </row>
    <row r="105" spans="2:9" x14ac:dyDescent="0.3">
      <c r="B105" s="119" t="s">
        <v>931</v>
      </c>
      <c r="C105" s="124"/>
      <c r="D105" s="124"/>
      <c r="E105" s="124" t="s">
        <v>930</v>
      </c>
      <c r="F105" s="124" t="s">
        <v>929</v>
      </c>
      <c r="G105" s="397">
        <v>37.5</v>
      </c>
      <c r="H105" s="160">
        <f>H35</f>
        <v>0</v>
      </c>
      <c r="I105" s="49">
        <f t="shared" ref="I105:I106" si="9">H105*G105</f>
        <v>0</v>
      </c>
    </row>
    <row r="106" spans="2:9" x14ac:dyDescent="0.3">
      <c r="B106" s="119" t="s">
        <v>263</v>
      </c>
      <c r="C106" s="124"/>
      <c r="D106" s="124"/>
      <c r="E106" s="628" t="s">
        <v>935</v>
      </c>
      <c r="F106" s="124" t="s">
        <v>129</v>
      </c>
      <c r="G106" s="397">
        <v>150</v>
      </c>
      <c r="H106" s="160">
        <f>H36</f>
        <v>0</v>
      </c>
      <c r="I106" s="49">
        <f t="shared" ref="I106" si="10">H106*G106</f>
        <v>0</v>
      </c>
    </row>
    <row r="107" spans="2:9" ht="27.6" x14ac:dyDescent="0.3">
      <c r="B107" s="114" t="s">
        <v>285</v>
      </c>
      <c r="C107" s="115"/>
      <c r="D107" s="115"/>
      <c r="E107" s="115" t="s">
        <v>10</v>
      </c>
      <c r="F107" s="115" t="s">
        <v>17</v>
      </c>
      <c r="G107" s="396">
        <v>501</v>
      </c>
      <c r="H107" s="160">
        <f>H37</f>
        <v>0</v>
      </c>
      <c r="I107" s="46">
        <f t="shared" si="7"/>
        <v>0</v>
      </c>
    </row>
    <row r="108" spans="2:9" ht="27.6" x14ac:dyDescent="0.3">
      <c r="B108" s="119" t="s">
        <v>286</v>
      </c>
      <c r="C108" s="124"/>
      <c r="D108" s="124"/>
      <c r="E108" s="124" t="s">
        <v>11</v>
      </c>
      <c r="F108" s="124" t="s">
        <v>18</v>
      </c>
      <c r="G108" s="397">
        <v>925</v>
      </c>
      <c r="H108" s="160">
        <f>H38</f>
        <v>0</v>
      </c>
      <c r="I108" s="49">
        <f t="shared" si="7"/>
        <v>0</v>
      </c>
    </row>
    <row r="109" spans="2:9" ht="27.6" x14ac:dyDescent="0.3">
      <c r="B109" s="114" t="s">
        <v>287</v>
      </c>
      <c r="C109" s="115"/>
      <c r="D109" s="115"/>
      <c r="E109" s="611" t="s">
        <v>652</v>
      </c>
      <c r="F109" s="115" t="s">
        <v>12</v>
      </c>
      <c r="G109" s="396">
        <v>50</v>
      </c>
      <c r="H109" s="160">
        <f>H39</f>
        <v>0</v>
      </c>
      <c r="I109" s="46">
        <f t="shared" si="7"/>
        <v>0</v>
      </c>
    </row>
    <row r="110" spans="2:9" ht="27.6" x14ac:dyDescent="0.3">
      <c r="B110" s="114" t="s">
        <v>288</v>
      </c>
      <c r="C110" s="115"/>
      <c r="D110" s="115"/>
      <c r="E110" s="611" t="s">
        <v>653</v>
      </c>
      <c r="F110" s="115" t="s">
        <v>13</v>
      </c>
      <c r="G110" s="396">
        <v>50</v>
      </c>
      <c r="H110" s="160">
        <f>H40</f>
        <v>0</v>
      </c>
      <c r="I110" s="46">
        <f t="shared" si="7"/>
        <v>0</v>
      </c>
    </row>
    <row r="111" spans="2:9" x14ac:dyDescent="0.3">
      <c r="B111" s="114" t="s">
        <v>289</v>
      </c>
      <c r="C111" s="115"/>
      <c r="D111" s="115"/>
      <c r="E111" s="611" t="s">
        <v>654</v>
      </c>
      <c r="F111" s="115" t="s">
        <v>14</v>
      </c>
      <c r="G111" s="396">
        <v>65</v>
      </c>
      <c r="H111" s="160">
        <f>H41</f>
        <v>0</v>
      </c>
      <c r="I111" s="46">
        <f t="shared" si="7"/>
        <v>0</v>
      </c>
    </row>
    <row r="112" spans="2:9" x14ac:dyDescent="0.3">
      <c r="B112" s="114" t="s">
        <v>290</v>
      </c>
      <c r="C112" s="115"/>
      <c r="D112" s="115"/>
      <c r="E112" s="611" t="s">
        <v>655</v>
      </c>
      <c r="F112" s="115" t="s">
        <v>15</v>
      </c>
      <c r="G112" s="396">
        <v>75</v>
      </c>
      <c r="H112" s="160">
        <f>H42</f>
        <v>0</v>
      </c>
      <c r="I112" s="46">
        <f t="shared" si="7"/>
        <v>0</v>
      </c>
    </row>
    <row r="113" spans="2:9" x14ac:dyDescent="0.3">
      <c r="B113" s="114" t="s">
        <v>291</v>
      </c>
      <c r="C113" s="115"/>
      <c r="D113" s="115"/>
      <c r="E113" s="611" t="s">
        <v>656</v>
      </c>
      <c r="F113" s="115" t="s">
        <v>16</v>
      </c>
      <c r="G113" s="396">
        <v>14</v>
      </c>
      <c r="H113" s="160">
        <f>H43</f>
        <v>0</v>
      </c>
      <c r="I113" s="46">
        <f t="shared" si="7"/>
        <v>0</v>
      </c>
    </row>
    <row r="114" spans="2:9" x14ac:dyDescent="0.3">
      <c r="B114" s="114" t="s">
        <v>292</v>
      </c>
      <c r="C114" s="115"/>
      <c r="D114" s="115"/>
      <c r="E114" s="611" t="s">
        <v>657</v>
      </c>
      <c r="F114" s="115" t="s">
        <v>100</v>
      </c>
      <c r="G114" s="396">
        <v>11.5</v>
      </c>
      <c r="H114" s="160">
        <f>H44</f>
        <v>0</v>
      </c>
      <c r="I114" s="46">
        <f t="shared" si="7"/>
        <v>0</v>
      </c>
    </row>
    <row r="115" spans="2:9" ht="14.4" thickBot="1" x14ac:dyDescent="0.35">
      <c r="B115" s="119" t="s">
        <v>293</v>
      </c>
      <c r="C115" s="124"/>
      <c r="D115" s="124"/>
      <c r="E115" s="628" t="s">
        <v>658</v>
      </c>
      <c r="F115" s="124" t="s">
        <v>101</v>
      </c>
      <c r="G115" s="397">
        <v>62</v>
      </c>
      <c r="H115" s="160">
        <f>H45</f>
        <v>0</v>
      </c>
      <c r="I115" s="49">
        <f t="shared" si="7"/>
        <v>0</v>
      </c>
    </row>
    <row r="116" spans="2:9" x14ac:dyDescent="0.3">
      <c r="B116" s="213" t="s">
        <v>280</v>
      </c>
      <c r="C116" s="214"/>
      <c r="D116" s="214"/>
      <c r="E116" s="214" t="s">
        <v>175</v>
      </c>
      <c r="F116" s="214" t="s">
        <v>117</v>
      </c>
      <c r="G116" s="573">
        <v>336</v>
      </c>
      <c r="H116" s="215">
        <f>H52</f>
        <v>0</v>
      </c>
      <c r="I116" s="403">
        <f t="shared" ref="I116:I128" si="11">H116*G116</f>
        <v>0</v>
      </c>
    </row>
    <row r="117" spans="2:9" x14ac:dyDescent="0.3">
      <c r="B117" s="119" t="s">
        <v>263</v>
      </c>
      <c r="C117" s="124"/>
      <c r="D117" s="124"/>
      <c r="E117" s="628" t="s">
        <v>934</v>
      </c>
      <c r="F117" s="124" t="s">
        <v>129</v>
      </c>
      <c r="G117" s="397">
        <v>150</v>
      </c>
      <c r="H117" s="171">
        <f t="shared" ref="H117:H128" si="12">H53</f>
        <v>0</v>
      </c>
      <c r="I117" s="49">
        <f t="shared" si="11"/>
        <v>0</v>
      </c>
    </row>
    <row r="118" spans="2:9" x14ac:dyDescent="0.3">
      <c r="B118" s="114" t="s">
        <v>247</v>
      </c>
      <c r="C118" s="115"/>
      <c r="D118" s="115"/>
      <c r="E118" s="115" t="s">
        <v>659</v>
      </c>
      <c r="F118" s="115" t="s">
        <v>177</v>
      </c>
      <c r="G118" s="396">
        <v>35</v>
      </c>
      <c r="H118" s="160">
        <f t="shared" si="12"/>
        <v>0</v>
      </c>
      <c r="I118" s="46">
        <f t="shared" si="11"/>
        <v>0</v>
      </c>
    </row>
    <row r="119" spans="2:9" ht="27.6" x14ac:dyDescent="0.3">
      <c r="B119" s="114" t="s">
        <v>248</v>
      </c>
      <c r="C119" s="115"/>
      <c r="D119" s="115"/>
      <c r="E119" s="115" t="s">
        <v>660</v>
      </c>
      <c r="F119" s="115" t="s">
        <v>62</v>
      </c>
      <c r="G119" s="396">
        <v>35</v>
      </c>
      <c r="H119" s="160">
        <f t="shared" si="12"/>
        <v>0</v>
      </c>
      <c r="I119" s="46">
        <f t="shared" si="11"/>
        <v>0</v>
      </c>
    </row>
    <row r="120" spans="2:9" x14ac:dyDescent="0.3">
      <c r="B120" s="114" t="s">
        <v>252</v>
      </c>
      <c r="C120" s="115"/>
      <c r="D120" s="115"/>
      <c r="E120" s="115" t="s">
        <v>277</v>
      </c>
      <c r="F120" s="115" t="s">
        <v>181</v>
      </c>
      <c r="G120" s="396">
        <v>450</v>
      </c>
      <c r="H120" s="160">
        <f t="shared" si="12"/>
        <v>0</v>
      </c>
      <c r="I120" s="46">
        <f t="shared" si="11"/>
        <v>0</v>
      </c>
    </row>
    <row r="121" spans="2:9" x14ac:dyDescent="0.3">
      <c r="B121" s="114" t="s">
        <v>253</v>
      </c>
      <c r="C121" s="115"/>
      <c r="D121" s="115"/>
      <c r="E121" s="115" t="s">
        <v>276</v>
      </c>
      <c r="F121" s="115" t="s">
        <v>182</v>
      </c>
      <c r="G121" s="396">
        <v>450</v>
      </c>
      <c r="H121" s="160">
        <f t="shared" si="12"/>
        <v>0</v>
      </c>
      <c r="I121" s="46">
        <f t="shared" si="11"/>
        <v>0</v>
      </c>
    </row>
    <row r="122" spans="2:9" x14ac:dyDescent="0.3">
      <c r="B122" s="114" t="s">
        <v>254</v>
      </c>
      <c r="C122" s="115"/>
      <c r="D122" s="115"/>
      <c r="E122" s="115" t="s">
        <v>278</v>
      </c>
      <c r="F122" s="115" t="s">
        <v>183</v>
      </c>
      <c r="G122" s="396">
        <v>20.5</v>
      </c>
      <c r="H122" s="160">
        <f t="shared" si="12"/>
        <v>0</v>
      </c>
      <c r="I122" s="46">
        <f t="shared" si="11"/>
        <v>0</v>
      </c>
    </row>
    <row r="123" spans="2:9" x14ac:dyDescent="0.3">
      <c r="B123" s="114" t="s">
        <v>255</v>
      </c>
      <c r="C123" s="115"/>
      <c r="D123" s="115"/>
      <c r="E123" s="611" t="s">
        <v>661</v>
      </c>
      <c r="F123" s="115" t="s">
        <v>184</v>
      </c>
      <c r="G123" s="396">
        <v>11.5</v>
      </c>
      <c r="H123" s="160">
        <f t="shared" si="12"/>
        <v>0</v>
      </c>
      <c r="I123" s="46">
        <f t="shared" si="11"/>
        <v>0</v>
      </c>
    </row>
    <row r="124" spans="2:9" x14ac:dyDescent="0.3">
      <c r="B124" s="114" t="s">
        <v>256</v>
      </c>
      <c r="C124" s="115"/>
      <c r="D124" s="115"/>
      <c r="E124" s="611" t="s">
        <v>662</v>
      </c>
      <c r="F124" s="115" t="s">
        <v>185</v>
      </c>
      <c r="G124" s="396">
        <v>9</v>
      </c>
      <c r="H124" s="160">
        <f t="shared" si="12"/>
        <v>0</v>
      </c>
      <c r="I124" s="46">
        <f t="shared" si="11"/>
        <v>0</v>
      </c>
    </row>
    <row r="125" spans="2:9" x14ac:dyDescent="0.3">
      <c r="B125" s="114" t="s">
        <v>258</v>
      </c>
      <c r="C125" s="115"/>
      <c r="D125" s="115"/>
      <c r="E125" s="611" t="s">
        <v>663</v>
      </c>
      <c r="F125" s="115" t="s">
        <v>187</v>
      </c>
      <c r="G125" s="396">
        <v>5</v>
      </c>
      <c r="H125" s="160">
        <f t="shared" si="12"/>
        <v>0</v>
      </c>
      <c r="I125" s="46">
        <f t="shared" si="11"/>
        <v>0</v>
      </c>
    </row>
    <row r="126" spans="2:9" x14ac:dyDescent="0.3">
      <c r="B126" s="114" t="s">
        <v>260</v>
      </c>
      <c r="C126" s="115"/>
      <c r="D126" s="115"/>
      <c r="E126" s="611" t="s">
        <v>664</v>
      </c>
      <c r="F126" s="115" t="s">
        <v>189</v>
      </c>
      <c r="G126" s="396">
        <v>27.5</v>
      </c>
      <c r="H126" s="160">
        <f t="shared" si="12"/>
        <v>0</v>
      </c>
      <c r="I126" s="46">
        <f t="shared" si="11"/>
        <v>0</v>
      </c>
    </row>
    <row r="127" spans="2:9" x14ac:dyDescent="0.3">
      <c r="B127" s="114" t="s">
        <v>261</v>
      </c>
      <c r="C127" s="115"/>
      <c r="D127" s="115"/>
      <c r="E127" s="611" t="s">
        <v>933</v>
      </c>
      <c r="F127" s="115" t="s">
        <v>190</v>
      </c>
      <c r="G127" s="396">
        <v>285</v>
      </c>
      <c r="H127" s="160">
        <f t="shared" si="12"/>
        <v>0</v>
      </c>
      <c r="I127" s="46">
        <f t="shared" si="11"/>
        <v>0</v>
      </c>
    </row>
    <row r="128" spans="2:9" x14ac:dyDescent="0.3">
      <c r="B128" s="119" t="s">
        <v>262</v>
      </c>
      <c r="C128" s="124"/>
      <c r="D128" s="124"/>
      <c r="E128" s="628" t="s">
        <v>665</v>
      </c>
      <c r="F128" s="124" t="s">
        <v>191</v>
      </c>
      <c r="G128" s="397">
        <v>37.5</v>
      </c>
      <c r="H128" s="160">
        <f t="shared" si="12"/>
        <v>0</v>
      </c>
      <c r="I128" s="49">
        <f t="shared" si="11"/>
        <v>0</v>
      </c>
    </row>
    <row r="129" spans="2:9" ht="14.4" thickBot="1" x14ac:dyDescent="0.35">
      <c r="B129" s="216"/>
      <c r="C129" s="216"/>
      <c r="D129" s="216"/>
      <c r="E129" s="216"/>
      <c r="F129" s="216"/>
      <c r="G129" s="216"/>
      <c r="H129" s="216"/>
      <c r="I129" s="216"/>
    </row>
    <row r="130" spans="2:9" ht="30" customHeight="1" thickTop="1" thickBot="1" x14ac:dyDescent="0.35">
      <c r="B130" s="343" t="s">
        <v>671</v>
      </c>
      <c r="C130" s="342"/>
      <c r="D130" s="342"/>
      <c r="E130" s="342"/>
      <c r="F130" s="342"/>
      <c r="G130" s="342"/>
      <c r="H130" s="342"/>
      <c r="I130" s="402">
        <f>SUM(I74:I129)</f>
        <v>0</v>
      </c>
    </row>
    <row r="131" spans="2:9" ht="30" customHeight="1" thickTop="1" x14ac:dyDescent="0.3"/>
    <row r="132" spans="2:9" ht="30" customHeight="1" x14ac:dyDescent="0.3"/>
    <row r="133" spans="2:9" ht="30" customHeight="1" x14ac:dyDescent="0.3"/>
    <row r="134" spans="2:9" ht="30" customHeight="1" x14ac:dyDescent="0.3"/>
    <row r="135" spans="2:9" ht="30" customHeight="1" x14ac:dyDescent="0.3"/>
    <row r="136" spans="2:9" ht="30" customHeight="1" x14ac:dyDescent="0.3"/>
    <row r="137" spans="2:9" ht="30" customHeight="1" x14ac:dyDescent="0.3"/>
    <row r="138" spans="2:9" ht="30" customHeight="1" x14ac:dyDescent="0.3"/>
    <row r="139" spans="2:9" ht="30" customHeight="1" x14ac:dyDescent="0.3"/>
    <row r="140" spans="2:9" ht="30" customHeight="1" x14ac:dyDescent="0.3"/>
    <row r="141" spans="2:9" ht="30" customHeight="1" x14ac:dyDescent="0.3"/>
    <row r="142" spans="2:9" ht="30" customHeight="1" x14ac:dyDescent="0.3"/>
    <row r="143" spans="2:9" ht="30" customHeight="1" x14ac:dyDescent="0.3"/>
    <row r="144" spans="2:9" ht="30" customHeight="1" x14ac:dyDescent="0.3"/>
    <row r="145" ht="30" customHeight="1" x14ac:dyDescent="0.3"/>
    <row r="146" ht="30" customHeight="1" x14ac:dyDescent="0.3"/>
    <row r="147" ht="30" customHeight="1" x14ac:dyDescent="0.3"/>
    <row r="148" ht="30" customHeight="1" x14ac:dyDescent="0.3"/>
    <row r="149" ht="30" customHeight="1" x14ac:dyDescent="0.3"/>
    <row r="150" ht="30" customHeight="1" x14ac:dyDescent="0.3"/>
    <row r="151" ht="30" customHeight="1" x14ac:dyDescent="0.3"/>
    <row r="152" ht="30" customHeight="1" x14ac:dyDescent="0.3"/>
    <row r="153" ht="30" customHeight="1" x14ac:dyDescent="0.3"/>
    <row r="154" ht="30" customHeight="1" x14ac:dyDescent="0.3"/>
    <row r="155" ht="30" customHeight="1" x14ac:dyDescent="0.3"/>
    <row r="156" ht="30" customHeight="1" x14ac:dyDescent="0.3"/>
    <row r="157" ht="30" customHeight="1" x14ac:dyDescent="0.3"/>
    <row r="158" ht="30" customHeight="1" x14ac:dyDescent="0.3"/>
    <row r="159" ht="30" customHeight="1" x14ac:dyDescent="0.3"/>
    <row r="160" ht="30" customHeight="1" x14ac:dyDescent="0.3"/>
    <row r="161" ht="30" customHeight="1" x14ac:dyDescent="0.3"/>
    <row r="162" ht="30" customHeight="1" x14ac:dyDescent="0.3"/>
    <row r="163" ht="30" customHeight="1" x14ac:dyDescent="0.3"/>
    <row r="164" ht="30" customHeight="1" x14ac:dyDescent="0.3"/>
    <row r="165" ht="30" customHeight="1" x14ac:dyDescent="0.3"/>
    <row r="166" ht="30" customHeight="1" x14ac:dyDescent="0.3"/>
    <row r="167" ht="30" customHeight="1" x14ac:dyDescent="0.3"/>
    <row r="168" ht="30" customHeight="1" x14ac:dyDescent="0.3"/>
    <row r="169" ht="30" customHeight="1" x14ac:dyDescent="0.3"/>
    <row r="170" ht="30" customHeight="1" x14ac:dyDescent="0.3"/>
    <row r="171" ht="30" customHeight="1" x14ac:dyDescent="0.3"/>
    <row r="172" ht="30" customHeight="1" x14ac:dyDescent="0.3"/>
    <row r="173" ht="30" customHeight="1" x14ac:dyDescent="0.3"/>
    <row r="174" ht="30" customHeight="1" x14ac:dyDescent="0.3"/>
    <row r="175" ht="30" customHeight="1" x14ac:dyDescent="0.3"/>
    <row r="176" ht="30" customHeight="1" x14ac:dyDescent="0.3"/>
    <row r="177" ht="30" customHeight="1" x14ac:dyDescent="0.3"/>
    <row r="178" ht="30" customHeight="1" x14ac:dyDescent="0.3"/>
    <row r="179" ht="30" customHeight="1" x14ac:dyDescent="0.3"/>
    <row r="180" ht="30" customHeight="1" x14ac:dyDescent="0.3"/>
    <row r="181" ht="30" customHeight="1" x14ac:dyDescent="0.3"/>
    <row r="182" ht="30" customHeight="1" x14ac:dyDescent="0.3"/>
    <row r="183" ht="30" customHeight="1" x14ac:dyDescent="0.3"/>
    <row r="184" ht="30" customHeight="1" x14ac:dyDescent="0.3"/>
    <row r="185" ht="30" customHeight="1" x14ac:dyDescent="0.3"/>
    <row r="186" ht="30" customHeight="1" x14ac:dyDescent="0.3"/>
    <row r="187" ht="30" customHeight="1" x14ac:dyDescent="0.3"/>
    <row r="188" ht="30" customHeight="1" x14ac:dyDescent="0.3"/>
    <row r="189" ht="30" customHeight="1" x14ac:dyDescent="0.3"/>
    <row r="190" ht="30" customHeight="1" x14ac:dyDescent="0.3"/>
    <row r="191" ht="30" customHeight="1" x14ac:dyDescent="0.3"/>
    <row r="192" ht="30" customHeight="1" x14ac:dyDescent="0.3"/>
    <row r="193" ht="30" customHeight="1" x14ac:dyDescent="0.3"/>
    <row r="194" ht="30" customHeight="1" x14ac:dyDescent="0.3"/>
    <row r="195" ht="30" customHeight="1" x14ac:dyDescent="0.3"/>
    <row r="196" ht="30" customHeight="1" x14ac:dyDescent="0.3"/>
    <row r="197" ht="30" customHeight="1" x14ac:dyDescent="0.3"/>
    <row r="198" ht="30" customHeight="1" x14ac:dyDescent="0.3"/>
    <row r="199" ht="30" customHeight="1" x14ac:dyDescent="0.3"/>
    <row r="200" ht="30" customHeight="1" x14ac:dyDescent="0.3"/>
    <row r="201" ht="30" customHeight="1" x14ac:dyDescent="0.3"/>
    <row r="202" ht="30" customHeight="1" x14ac:dyDescent="0.3"/>
    <row r="203" ht="30" customHeight="1" x14ac:dyDescent="0.3"/>
    <row r="204" ht="30" customHeight="1" x14ac:dyDescent="0.3"/>
    <row r="205" ht="30" customHeight="1" x14ac:dyDescent="0.3"/>
    <row r="206" ht="30" customHeight="1" x14ac:dyDescent="0.3"/>
    <row r="207" ht="30" customHeight="1" x14ac:dyDescent="0.3"/>
    <row r="208" ht="30" customHeight="1" x14ac:dyDescent="0.3"/>
    <row r="209" ht="30" customHeight="1" x14ac:dyDescent="0.3"/>
    <row r="210" ht="30" customHeight="1" x14ac:dyDescent="0.3"/>
    <row r="211" ht="30" customHeight="1" x14ac:dyDescent="0.3"/>
    <row r="212" ht="30" customHeight="1" x14ac:dyDescent="0.3"/>
    <row r="213" ht="30" customHeight="1" x14ac:dyDescent="0.3"/>
    <row r="214" ht="30" customHeight="1" x14ac:dyDescent="0.3"/>
    <row r="215" ht="30" customHeight="1" x14ac:dyDescent="0.3"/>
    <row r="216" ht="30" customHeight="1" x14ac:dyDescent="0.3"/>
    <row r="217" ht="30" customHeight="1" x14ac:dyDescent="0.3"/>
    <row r="218" ht="30" customHeight="1" x14ac:dyDescent="0.3"/>
    <row r="219" ht="30" customHeight="1" x14ac:dyDescent="0.3"/>
    <row r="220" ht="30" customHeight="1" x14ac:dyDescent="0.3"/>
    <row r="221" ht="30" customHeight="1" x14ac:dyDescent="0.3"/>
    <row r="222" ht="30" customHeight="1" x14ac:dyDescent="0.3"/>
    <row r="223" ht="30" customHeight="1" x14ac:dyDescent="0.3"/>
    <row r="224" ht="30" customHeight="1" x14ac:dyDescent="0.3"/>
    <row r="225" ht="30" customHeight="1" x14ac:dyDescent="0.3"/>
    <row r="226" ht="30" customHeight="1" x14ac:dyDescent="0.3"/>
    <row r="227" ht="30" customHeight="1" x14ac:dyDescent="0.3"/>
    <row r="228" ht="30" customHeight="1" x14ac:dyDescent="0.3"/>
    <row r="229" ht="30" customHeight="1" x14ac:dyDescent="0.3"/>
    <row r="230" ht="30" customHeight="1" x14ac:dyDescent="0.3"/>
    <row r="231" ht="30" customHeight="1" x14ac:dyDescent="0.3"/>
    <row r="232" ht="30" customHeight="1" x14ac:dyDescent="0.3"/>
    <row r="233" ht="30" customHeight="1" x14ac:dyDescent="0.3"/>
    <row r="234" ht="30" customHeight="1" x14ac:dyDescent="0.3"/>
    <row r="235" ht="30" customHeight="1" x14ac:dyDescent="0.3"/>
    <row r="236" ht="30" customHeight="1" x14ac:dyDescent="0.3"/>
    <row r="237" ht="30" customHeight="1" x14ac:dyDescent="0.3"/>
    <row r="238" ht="30" customHeight="1" x14ac:dyDescent="0.3"/>
    <row r="239" ht="30" customHeight="1" x14ac:dyDescent="0.3"/>
    <row r="240" ht="30" customHeight="1" x14ac:dyDescent="0.3"/>
    <row r="241" ht="30" customHeight="1" x14ac:dyDescent="0.3"/>
    <row r="242" ht="30" customHeight="1" x14ac:dyDescent="0.3"/>
    <row r="243" ht="30" customHeight="1" x14ac:dyDescent="0.3"/>
    <row r="244" ht="30" customHeight="1" x14ac:dyDescent="0.3"/>
    <row r="245" ht="30" customHeight="1" x14ac:dyDescent="0.3"/>
    <row r="246" ht="30" customHeight="1" x14ac:dyDescent="0.3"/>
    <row r="247" ht="30" customHeight="1" x14ac:dyDescent="0.3"/>
    <row r="248" ht="30" customHeight="1" x14ac:dyDescent="0.3"/>
    <row r="249" ht="30" customHeight="1" x14ac:dyDescent="0.3"/>
    <row r="250" ht="30" customHeight="1" x14ac:dyDescent="0.3"/>
    <row r="251" ht="30" customHeight="1" x14ac:dyDescent="0.3"/>
    <row r="252" ht="30" customHeight="1" x14ac:dyDescent="0.3"/>
    <row r="253" ht="30" customHeight="1" x14ac:dyDescent="0.3"/>
    <row r="254" ht="30" customHeight="1" x14ac:dyDescent="0.3"/>
    <row r="255" ht="30" customHeight="1" x14ac:dyDescent="0.3"/>
    <row r="256" ht="30" customHeight="1" x14ac:dyDescent="0.3"/>
    <row r="257" ht="30" customHeight="1" x14ac:dyDescent="0.3"/>
    <row r="258" ht="30" customHeight="1" x14ac:dyDescent="0.3"/>
    <row r="259" ht="30" customHeight="1" x14ac:dyDescent="0.3"/>
    <row r="260" ht="30" customHeight="1" x14ac:dyDescent="0.3"/>
    <row r="261" ht="30" customHeight="1" x14ac:dyDescent="0.3"/>
    <row r="262" ht="30" customHeight="1" x14ac:dyDescent="0.3"/>
    <row r="263" ht="30" customHeight="1" x14ac:dyDescent="0.3"/>
    <row r="264" ht="30" customHeight="1" x14ac:dyDescent="0.3"/>
    <row r="265" ht="30" customHeight="1" x14ac:dyDescent="0.3"/>
    <row r="266" ht="30" customHeight="1" x14ac:dyDescent="0.3"/>
    <row r="267" ht="30" customHeight="1" x14ac:dyDescent="0.3"/>
    <row r="268" ht="30" customHeight="1" x14ac:dyDescent="0.3"/>
    <row r="269" ht="30" customHeight="1" x14ac:dyDescent="0.3"/>
    <row r="270" ht="30" customHeight="1" x14ac:dyDescent="0.3"/>
    <row r="271" ht="30" customHeight="1" x14ac:dyDescent="0.3"/>
    <row r="272" ht="30" customHeight="1" x14ac:dyDescent="0.3"/>
    <row r="273" ht="30" customHeight="1" x14ac:dyDescent="0.3"/>
    <row r="274" ht="30" customHeight="1" x14ac:dyDescent="0.3"/>
    <row r="275" ht="30" customHeight="1" x14ac:dyDescent="0.3"/>
    <row r="276" ht="30" customHeight="1" x14ac:dyDescent="0.3"/>
    <row r="277" ht="30" customHeight="1" x14ac:dyDescent="0.3"/>
    <row r="278" ht="30" customHeight="1" x14ac:dyDescent="0.3"/>
    <row r="279" ht="30" customHeight="1" x14ac:dyDescent="0.3"/>
    <row r="280" ht="30" customHeight="1" x14ac:dyDescent="0.3"/>
    <row r="281" ht="30" customHeight="1" x14ac:dyDescent="0.3"/>
    <row r="282" ht="30" customHeight="1" x14ac:dyDescent="0.3"/>
    <row r="283" ht="30" customHeight="1" x14ac:dyDescent="0.3"/>
    <row r="284" ht="30" customHeight="1" x14ac:dyDescent="0.3"/>
    <row r="285" ht="30" customHeight="1" x14ac:dyDescent="0.3"/>
    <row r="286" ht="30" customHeight="1" x14ac:dyDescent="0.3"/>
    <row r="287" ht="30" customHeight="1" x14ac:dyDescent="0.3"/>
    <row r="288" ht="30" customHeight="1" x14ac:dyDescent="0.3"/>
    <row r="289" ht="30" customHeight="1" x14ac:dyDescent="0.3"/>
    <row r="290" ht="30" customHeight="1" x14ac:dyDescent="0.3"/>
    <row r="291" ht="30" customHeight="1" x14ac:dyDescent="0.3"/>
    <row r="292" ht="30" customHeight="1" x14ac:dyDescent="0.3"/>
    <row r="293" ht="30" customHeight="1" x14ac:dyDescent="0.3"/>
    <row r="294" ht="30" customHeight="1" x14ac:dyDescent="0.3"/>
    <row r="295" ht="30" customHeight="1" x14ac:dyDescent="0.3"/>
    <row r="296" ht="30" customHeight="1" x14ac:dyDescent="0.3"/>
    <row r="297" ht="30" customHeight="1" x14ac:dyDescent="0.3"/>
    <row r="298" ht="30" customHeight="1" x14ac:dyDescent="0.3"/>
    <row r="299" ht="30" customHeight="1" x14ac:dyDescent="0.3"/>
    <row r="300" ht="30" customHeight="1" x14ac:dyDescent="0.3"/>
    <row r="301" ht="30" customHeight="1" x14ac:dyDescent="0.3"/>
    <row r="302" ht="30" customHeight="1" x14ac:dyDescent="0.3"/>
    <row r="303" ht="30" customHeight="1" x14ac:dyDescent="0.3"/>
    <row r="304" ht="30" customHeight="1" x14ac:dyDescent="0.3"/>
    <row r="305" ht="30" customHeight="1" x14ac:dyDescent="0.3"/>
    <row r="306" ht="30" customHeight="1" x14ac:dyDescent="0.3"/>
    <row r="307" ht="30" customHeight="1" x14ac:dyDescent="0.3"/>
    <row r="308" ht="30" customHeight="1" x14ac:dyDescent="0.3"/>
    <row r="309" ht="30" customHeight="1" x14ac:dyDescent="0.3"/>
    <row r="310" ht="30" customHeight="1" x14ac:dyDescent="0.3"/>
    <row r="311" ht="30" customHeight="1" x14ac:dyDescent="0.3"/>
    <row r="312" ht="30" customHeight="1" x14ac:dyDescent="0.3"/>
    <row r="313" ht="30" customHeight="1" x14ac:dyDescent="0.3"/>
    <row r="314" ht="30" customHeight="1" x14ac:dyDescent="0.3"/>
    <row r="315" ht="30" customHeight="1" x14ac:dyDescent="0.3"/>
    <row r="316" ht="30" customHeight="1" x14ac:dyDescent="0.3"/>
    <row r="317" ht="30" customHeight="1" x14ac:dyDescent="0.3"/>
    <row r="318" ht="30" customHeight="1" x14ac:dyDescent="0.3"/>
    <row r="319" ht="30" customHeight="1" x14ac:dyDescent="0.3"/>
    <row r="320" ht="30" customHeight="1" x14ac:dyDescent="0.3"/>
    <row r="321" ht="30" customHeight="1" x14ac:dyDescent="0.3"/>
    <row r="322" ht="30" customHeight="1" x14ac:dyDescent="0.3"/>
    <row r="323" ht="30" customHeight="1" x14ac:dyDescent="0.3"/>
    <row r="324" ht="30" customHeight="1" x14ac:dyDescent="0.3"/>
    <row r="325" ht="30" customHeight="1" x14ac:dyDescent="0.3"/>
    <row r="326" ht="30" customHeight="1" x14ac:dyDescent="0.3"/>
    <row r="327" ht="30" customHeight="1" x14ac:dyDescent="0.3"/>
    <row r="328" ht="30" customHeight="1" x14ac:dyDescent="0.3"/>
    <row r="329" ht="30" customHeight="1" x14ac:dyDescent="0.3"/>
    <row r="330" ht="30" customHeight="1" x14ac:dyDescent="0.3"/>
    <row r="331" ht="30" customHeight="1" x14ac:dyDescent="0.3"/>
    <row r="332" ht="30" customHeight="1" x14ac:dyDescent="0.3"/>
    <row r="333" ht="30" customHeight="1" x14ac:dyDescent="0.3"/>
    <row r="334" ht="30" customHeight="1" x14ac:dyDescent="0.3"/>
    <row r="335" ht="30" customHeight="1" x14ac:dyDescent="0.3"/>
    <row r="336" ht="30" customHeight="1" x14ac:dyDescent="0.3"/>
    <row r="337" ht="30" customHeight="1" x14ac:dyDescent="0.3"/>
    <row r="338" ht="30" customHeight="1" x14ac:dyDescent="0.3"/>
    <row r="339" ht="30" customHeight="1" x14ac:dyDescent="0.3"/>
    <row r="340" ht="30" customHeight="1" x14ac:dyDescent="0.3"/>
    <row r="341" ht="30" customHeight="1" x14ac:dyDescent="0.3"/>
    <row r="342" ht="30" customHeight="1" x14ac:dyDescent="0.3"/>
    <row r="343" ht="30" customHeight="1" x14ac:dyDescent="0.3"/>
    <row r="344" ht="30" customHeight="1" x14ac:dyDescent="0.3"/>
    <row r="345" ht="30" customHeight="1" x14ac:dyDescent="0.3"/>
    <row r="346" ht="30" customHeight="1" x14ac:dyDescent="0.3"/>
    <row r="347" ht="30" customHeight="1" x14ac:dyDescent="0.3"/>
    <row r="348" ht="30" customHeight="1" x14ac:dyDescent="0.3"/>
    <row r="349" ht="30" customHeight="1" x14ac:dyDescent="0.3"/>
    <row r="350" ht="30" customHeight="1" x14ac:dyDescent="0.3"/>
    <row r="351" ht="30" customHeight="1" x14ac:dyDescent="0.3"/>
    <row r="352" ht="30" customHeight="1" x14ac:dyDescent="0.3"/>
    <row r="353" ht="30" customHeight="1" x14ac:dyDescent="0.3"/>
    <row r="354" ht="30" customHeight="1" x14ac:dyDescent="0.3"/>
    <row r="355" ht="30" customHeight="1" x14ac:dyDescent="0.3"/>
    <row r="356" ht="30" customHeight="1" x14ac:dyDescent="0.3"/>
    <row r="357" ht="30" customHeight="1" x14ac:dyDescent="0.3"/>
    <row r="358" ht="30" customHeight="1" x14ac:dyDescent="0.3"/>
    <row r="359" ht="30" customHeight="1" x14ac:dyDescent="0.3"/>
    <row r="360" ht="30" customHeight="1" x14ac:dyDescent="0.3"/>
    <row r="361" ht="30" customHeight="1" x14ac:dyDescent="0.3"/>
    <row r="362" ht="30" customHeight="1" x14ac:dyDescent="0.3"/>
    <row r="363" ht="30" customHeight="1" x14ac:dyDescent="0.3"/>
    <row r="364" ht="30" customHeight="1" x14ac:dyDescent="0.3"/>
    <row r="365" ht="30" customHeight="1" x14ac:dyDescent="0.3"/>
    <row r="366" ht="30" customHeight="1" x14ac:dyDescent="0.3"/>
    <row r="367" ht="30" customHeight="1" x14ac:dyDescent="0.3"/>
    <row r="368" ht="30" customHeight="1" x14ac:dyDescent="0.3"/>
    <row r="369" ht="30" customHeight="1" x14ac:dyDescent="0.3"/>
    <row r="370" ht="30" customHeight="1" x14ac:dyDescent="0.3"/>
    <row r="371" ht="30" customHeight="1" x14ac:dyDescent="0.3"/>
    <row r="372" ht="30" customHeight="1" x14ac:dyDescent="0.3"/>
    <row r="373" ht="30" customHeight="1" x14ac:dyDescent="0.3"/>
    <row r="374" ht="30" customHeight="1" x14ac:dyDescent="0.3"/>
    <row r="375" ht="30" customHeight="1" x14ac:dyDescent="0.3"/>
    <row r="376" ht="30" customHeight="1" x14ac:dyDescent="0.3"/>
    <row r="377" ht="30" customHeight="1" x14ac:dyDescent="0.3"/>
    <row r="378" ht="30" customHeight="1" x14ac:dyDescent="0.3"/>
    <row r="379" ht="30" customHeight="1" x14ac:dyDescent="0.3"/>
    <row r="380" ht="30" customHeight="1" x14ac:dyDescent="0.3"/>
    <row r="381" ht="30" customHeight="1" x14ac:dyDescent="0.3"/>
    <row r="382" ht="30" customHeight="1" x14ac:dyDescent="0.3"/>
    <row r="383" ht="30" customHeight="1" x14ac:dyDescent="0.3"/>
    <row r="384" ht="30" customHeight="1" x14ac:dyDescent="0.3"/>
    <row r="385" ht="30" customHeight="1" x14ac:dyDescent="0.3"/>
    <row r="386" ht="30" customHeight="1" x14ac:dyDescent="0.3"/>
    <row r="387" ht="30" customHeight="1" x14ac:dyDescent="0.3"/>
    <row r="388" ht="30" customHeight="1" x14ac:dyDescent="0.3"/>
    <row r="389" ht="30" customHeight="1" x14ac:dyDescent="0.3"/>
    <row r="390" ht="30" customHeight="1" x14ac:dyDescent="0.3"/>
    <row r="391" ht="30" customHeight="1" x14ac:dyDescent="0.3"/>
    <row r="392" ht="30" customHeight="1" x14ac:dyDescent="0.3"/>
    <row r="393" ht="30" customHeight="1" x14ac:dyDescent="0.3"/>
    <row r="394" ht="30" customHeight="1" x14ac:dyDescent="0.3"/>
    <row r="395" ht="30" customHeight="1" x14ac:dyDescent="0.3"/>
    <row r="396" ht="30" customHeight="1" x14ac:dyDescent="0.3"/>
    <row r="397" ht="30" customHeight="1" x14ac:dyDescent="0.3"/>
    <row r="398" ht="30" customHeight="1" x14ac:dyDescent="0.3"/>
    <row r="399" ht="30" customHeight="1" x14ac:dyDescent="0.3"/>
    <row r="400" ht="30" customHeight="1" x14ac:dyDescent="0.3"/>
    <row r="401" ht="30" customHeight="1" x14ac:dyDescent="0.3"/>
    <row r="402" ht="30" customHeight="1" x14ac:dyDescent="0.3"/>
    <row r="403" ht="30" customHeight="1" x14ac:dyDescent="0.3"/>
    <row r="404" ht="30" customHeight="1" x14ac:dyDescent="0.3"/>
    <row r="405" ht="30" customHeight="1" x14ac:dyDescent="0.3"/>
    <row r="406" ht="30" customHeight="1" x14ac:dyDescent="0.3"/>
    <row r="407" ht="30" customHeight="1" x14ac:dyDescent="0.3"/>
    <row r="408" ht="30" customHeight="1" x14ac:dyDescent="0.3"/>
    <row r="409" ht="30" customHeight="1" x14ac:dyDescent="0.3"/>
    <row r="410" ht="30" customHeight="1" x14ac:dyDescent="0.3"/>
    <row r="411" ht="30" customHeight="1" x14ac:dyDescent="0.3"/>
    <row r="412" ht="30" customHeight="1" x14ac:dyDescent="0.3"/>
    <row r="413" ht="30" customHeight="1" x14ac:dyDescent="0.3"/>
    <row r="414" ht="30" customHeight="1" x14ac:dyDescent="0.3"/>
    <row r="415" ht="30" customHeight="1" x14ac:dyDescent="0.3"/>
    <row r="416" ht="30" customHeight="1" x14ac:dyDescent="0.3"/>
    <row r="417" ht="30" customHeight="1" x14ac:dyDescent="0.3"/>
    <row r="418" ht="30" customHeight="1" x14ac:dyDescent="0.3"/>
    <row r="419" ht="30" customHeight="1" x14ac:dyDescent="0.3"/>
    <row r="420" ht="30" customHeight="1" x14ac:dyDescent="0.3"/>
    <row r="421" ht="30" customHeight="1" x14ac:dyDescent="0.3"/>
    <row r="422" ht="30" customHeight="1" x14ac:dyDescent="0.3"/>
    <row r="423" ht="30" customHeight="1" x14ac:dyDescent="0.3"/>
    <row r="424" ht="30" customHeight="1" x14ac:dyDescent="0.3"/>
    <row r="425" ht="30" customHeight="1" x14ac:dyDescent="0.3"/>
    <row r="426" ht="30" customHeight="1" x14ac:dyDescent="0.3"/>
    <row r="427" ht="30" customHeight="1" x14ac:dyDescent="0.3"/>
    <row r="428" ht="30" customHeight="1" x14ac:dyDescent="0.3"/>
    <row r="429" ht="30" customHeight="1" x14ac:dyDescent="0.3"/>
    <row r="430" ht="30" customHeight="1" x14ac:dyDescent="0.3"/>
    <row r="431" ht="30" customHeight="1" x14ac:dyDescent="0.3"/>
    <row r="432" ht="30" customHeight="1" x14ac:dyDescent="0.3"/>
    <row r="433" ht="30" customHeight="1" x14ac:dyDescent="0.3"/>
    <row r="434" ht="30" customHeight="1" x14ac:dyDescent="0.3"/>
    <row r="435" ht="30" customHeight="1" x14ac:dyDescent="0.3"/>
    <row r="436" ht="30" customHeight="1" x14ac:dyDescent="0.3"/>
    <row r="437" ht="30" customHeight="1" x14ac:dyDescent="0.3"/>
    <row r="438" ht="30" customHeight="1" x14ac:dyDescent="0.3"/>
    <row r="439" ht="30" customHeight="1" x14ac:dyDescent="0.3"/>
    <row r="440" ht="30" customHeight="1" x14ac:dyDescent="0.3"/>
    <row r="441" ht="30" customHeight="1" x14ac:dyDescent="0.3"/>
    <row r="442" ht="30" customHeight="1" x14ac:dyDescent="0.3"/>
    <row r="443" ht="30" customHeight="1" x14ac:dyDescent="0.3"/>
    <row r="444" ht="30" customHeight="1" x14ac:dyDescent="0.3"/>
    <row r="445" ht="30" customHeight="1" x14ac:dyDescent="0.3"/>
    <row r="446" ht="30" customHeight="1" x14ac:dyDescent="0.3"/>
    <row r="447" ht="30" customHeight="1" x14ac:dyDescent="0.3"/>
    <row r="448" ht="30" customHeight="1" x14ac:dyDescent="0.3"/>
    <row r="449" ht="30" customHeight="1" x14ac:dyDescent="0.3"/>
    <row r="450" ht="30" customHeight="1" x14ac:dyDescent="0.3"/>
    <row r="451" ht="30" customHeight="1" x14ac:dyDescent="0.3"/>
    <row r="452" ht="30" customHeight="1" x14ac:dyDescent="0.3"/>
    <row r="453" ht="30" customHeight="1" x14ac:dyDescent="0.3"/>
    <row r="454" ht="30" customHeight="1" x14ac:dyDescent="0.3"/>
    <row r="455" ht="30" customHeight="1" x14ac:dyDescent="0.3"/>
    <row r="456" ht="30" customHeight="1" x14ac:dyDescent="0.3"/>
    <row r="457" ht="30" customHeight="1" x14ac:dyDescent="0.3"/>
    <row r="458" ht="30" customHeight="1" x14ac:dyDescent="0.3"/>
    <row r="459" ht="30" customHeight="1" x14ac:dyDescent="0.3"/>
    <row r="460" ht="30" customHeight="1" x14ac:dyDescent="0.3"/>
    <row r="461" ht="30" customHeight="1" x14ac:dyDescent="0.3"/>
    <row r="462" ht="30" customHeight="1" x14ac:dyDescent="0.3"/>
    <row r="463" ht="30" customHeight="1" x14ac:dyDescent="0.3"/>
    <row r="464" ht="30" customHeight="1" x14ac:dyDescent="0.3"/>
    <row r="465" ht="30" customHeight="1" x14ac:dyDescent="0.3"/>
    <row r="466" ht="30" customHeight="1" x14ac:dyDescent="0.3"/>
    <row r="467" ht="30" customHeight="1" x14ac:dyDescent="0.3"/>
    <row r="468" ht="30" customHeight="1" x14ac:dyDescent="0.3"/>
    <row r="469" ht="30" customHeight="1" x14ac:dyDescent="0.3"/>
    <row r="470" ht="30" customHeight="1" x14ac:dyDescent="0.3"/>
    <row r="471" ht="30" customHeight="1" x14ac:dyDescent="0.3"/>
    <row r="472" ht="30" customHeight="1" x14ac:dyDescent="0.3"/>
    <row r="473" ht="30" customHeight="1" x14ac:dyDescent="0.3"/>
    <row r="474" ht="30" customHeight="1" x14ac:dyDescent="0.3"/>
    <row r="475" ht="30" customHeight="1" x14ac:dyDescent="0.3"/>
    <row r="476" ht="30" customHeight="1" x14ac:dyDescent="0.3"/>
    <row r="477" ht="30" customHeight="1" x14ac:dyDescent="0.3"/>
    <row r="478" ht="30" customHeight="1" x14ac:dyDescent="0.3"/>
    <row r="479" ht="30" customHeight="1" x14ac:dyDescent="0.3"/>
    <row r="480" ht="30" customHeight="1" x14ac:dyDescent="0.3"/>
    <row r="481" ht="30" customHeight="1" x14ac:dyDescent="0.3"/>
    <row r="482" ht="30" customHeight="1" x14ac:dyDescent="0.3"/>
    <row r="483" ht="30" customHeight="1" x14ac:dyDescent="0.3"/>
    <row r="484" ht="30" customHeight="1" x14ac:dyDescent="0.3"/>
    <row r="485" ht="30" customHeight="1" x14ac:dyDescent="0.3"/>
    <row r="486" ht="30" customHeight="1" x14ac:dyDescent="0.3"/>
    <row r="487" ht="30" customHeight="1" x14ac:dyDescent="0.3"/>
    <row r="488" ht="30" customHeight="1" x14ac:dyDescent="0.3"/>
    <row r="489" ht="30" customHeight="1" x14ac:dyDescent="0.3"/>
    <row r="490" ht="30" customHeight="1" x14ac:dyDescent="0.3"/>
    <row r="491" ht="30" customHeight="1" x14ac:dyDescent="0.3"/>
    <row r="492" ht="30" customHeight="1" x14ac:dyDescent="0.3"/>
    <row r="493" ht="30" customHeight="1" x14ac:dyDescent="0.3"/>
    <row r="494" ht="30" customHeight="1" x14ac:dyDescent="0.3"/>
    <row r="495" ht="30" customHeight="1" x14ac:dyDescent="0.3"/>
    <row r="496" ht="30" customHeight="1" x14ac:dyDescent="0.3"/>
    <row r="497" ht="30" customHeight="1" x14ac:dyDescent="0.3"/>
    <row r="498" ht="30" customHeight="1" x14ac:dyDescent="0.3"/>
    <row r="499" ht="30" customHeight="1" x14ac:dyDescent="0.3"/>
    <row r="500" ht="30" customHeight="1" x14ac:dyDescent="0.3"/>
    <row r="501" ht="30" customHeight="1" x14ac:dyDescent="0.3"/>
    <row r="502" ht="30" customHeight="1" x14ac:dyDescent="0.3"/>
    <row r="503" ht="30" customHeight="1" x14ac:dyDescent="0.3"/>
    <row r="504" ht="30" customHeight="1" x14ac:dyDescent="0.3"/>
    <row r="505" ht="30" customHeight="1" x14ac:dyDescent="0.3"/>
    <row r="506" ht="30" customHeight="1" x14ac:dyDescent="0.3"/>
    <row r="507" ht="30" customHeight="1" x14ac:dyDescent="0.3"/>
    <row r="508" ht="30" customHeight="1" x14ac:dyDescent="0.3"/>
    <row r="509" ht="30" customHeight="1" x14ac:dyDescent="0.3"/>
    <row r="510" ht="30" customHeight="1" x14ac:dyDescent="0.3"/>
    <row r="511" ht="30" customHeight="1" x14ac:dyDescent="0.3"/>
    <row r="512" ht="30" customHeight="1" x14ac:dyDescent="0.3"/>
    <row r="513" ht="30" customHeight="1" x14ac:dyDescent="0.3"/>
    <row r="514" ht="30" customHeight="1" x14ac:dyDescent="0.3"/>
    <row r="515" ht="30" customHeight="1" x14ac:dyDescent="0.3"/>
    <row r="516" ht="30" customHeight="1" x14ac:dyDescent="0.3"/>
    <row r="517" ht="30" customHeight="1" x14ac:dyDescent="0.3"/>
    <row r="518" ht="30" customHeight="1" x14ac:dyDescent="0.3"/>
    <row r="519" ht="30" customHeight="1" x14ac:dyDescent="0.3"/>
    <row r="520" ht="30" customHeight="1" x14ac:dyDescent="0.3"/>
    <row r="521" ht="30" customHeight="1" x14ac:dyDescent="0.3"/>
    <row r="522" ht="30" customHeight="1" x14ac:dyDescent="0.3"/>
    <row r="523" ht="30" customHeight="1" x14ac:dyDescent="0.3"/>
    <row r="524" ht="30" customHeight="1" x14ac:dyDescent="0.3"/>
    <row r="525" ht="30" customHeight="1" x14ac:dyDescent="0.3"/>
    <row r="526" ht="30" customHeight="1" x14ac:dyDescent="0.3"/>
    <row r="527" ht="30" customHeight="1" x14ac:dyDescent="0.3"/>
    <row r="528" ht="30" customHeight="1" x14ac:dyDescent="0.3"/>
    <row r="529" ht="30" customHeight="1" x14ac:dyDescent="0.3"/>
    <row r="530" ht="30" customHeight="1" x14ac:dyDescent="0.3"/>
    <row r="531" ht="30" customHeight="1" x14ac:dyDescent="0.3"/>
    <row r="532" ht="30" customHeight="1" x14ac:dyDescent="0.3"/>
    <row r="533" ht="30" customHeight="1" x14ac:dyDescent="0.3"/>
    <row r="534" ht="30" customHeight="1" x14ac:dyDescent="0.3"/>
    <row r="535" ht="30" customHeight="1" x14ac:dyDescent="0.3"/>
    <row r="536" ht="30" customHeight="1" x14ac:dyDescent="0.3"/>
    <row r="537" ht="30" customHeight="1" x14ac:dyDescent="0.3"/>
    <row r="538" ht="30" customHeight="1" x14ac:dyDescent="0.3"/>
    <row r="539" ht="30" customHeight="1" x14ac:dyDescent="0.3"/>
    <row r="540" ht="30" customHeight="1" x14ac:dyDescent="0.3"/>
    <row r="541" ht="30" customHeight="1" x14ac:dyDescent="0.3"/>
    <row r="542" ht="30" customHeight="1" x14ac:dyDescent="0.3"/>
    <row r="543" ht="30" customHeight="1" x14ac:dyDescent="0.3"/>
    <row r="544" ht="30" customHeight="1" x14ac:dyDescent="0.3"/>
    <row r="545" ht="30" customHeight="1" x14ac:dyDescent="0.3"/>
    <row r="546" ht="30" customHeight="1" x14ac:dyDescent="0.3"/>
    <row r="547" ht="30" customHeight="1" x14ac:dyDescent="0.3"/>
    <row r="548" ht="30" customHeight="1" x14ac:dyDescent="0.3"/>
    <row r="549" ht="30" customHeight="1" x14ac:dyDescent="0.3"/>
    <row r="550" ht="30" customHeight="1" x14ac:dyDescent="0.3"/>
    <row r="551" ht="30" customHeight="1" x14ac:dyDescent="0.3"/>
    <row r="552" ht="30" customHeight="1" x14ac:dyDescent="0.3"/>
    <row r="553" ht="30" customHeight="1" x14ac:dyDescent="0.3"/>
    <row r="554" ht="30" customHeight="1" x14ac:dyDescent="0.3"/>
    <row r="555" ht="30" customHeight="1" x14ac:dyDescent="0.3"/>
    <row r="556" ht="30" customHeight="1" x14ac:dyDescent="0.3"/>
    <row r="557" ht="30" customHeight="1" x14ac:dyDescent="0.3"/>
    <row r="558" ht="30" customHeight="1" x14ac:dyDescent="0.3"/>
    <row r="559" ht="30" customHeight="1" x14ac:dyDescent="0.3"/>
    <row r="560" ht="30" customHeight="1" x14ac:dyDescent="0.3"/>
    <row r="561" ht="30" customHeight="1" x14ac:dyDescent="0.3"/>
    <row r="562" ht="30" customHeight="1" x14ac:dyDescent="0.3"/>
    <row r="563" ht="30" customHeight="1" x14ac:dyDescent="0.3"/>
    <row r="564" ht="30" customHeight="1" x14ac:dyDescent="0.3"/>
    <row r="565" ht="30" customHeight="1" x14ac:dyDescent="0.3"/>
    <row r="566" ht="30" customHeight="1" x14ac:dyDescent="0.3"/>
    <row r="567" ht="30" customHeight="1" x14ac:dyDescent="0.3"/>
    <row r="568" ht="30" customHeight="1" x14ac:dyDescent="0.3"/>
    <row r="569" ht="30" customHeight="1" x14ac:dyDescent="0.3"/>
    <row r="570" ht="30" customHeight="1" x14ac:dyDescent="0.3"/>
    <row r="571" ht="30" customHeight="1" x14ac:dyDescent="0.3"/>
    <row r="572" ht="30" customHeight="1" x14ac:dyDescent="0.3"/>
    <row r="573" ht="30" customHeight="1" x14ac:dyDescent="0.3"/>
    <row r="574" ht="30" customHeight="1" x14ac:dyDescent="0.3"/>
    <row r="575" ht="30" customHeight="1" x14ac:dyDescent="0.3"/>
    <row r="576" ht="30" customHeight="1" x14ac:dyDescent="0.3"/>
    <row r="577" ht="30" customHeight="1" x14ac:dyDescent="0.3"/>
    <row r="578" ht="30" customHeight="1" x14ac:dyDescent="0.3"/>
    <row r="579" ht="30" customHeight="1" x14ac:dyDescent="0.3"/>
    <row r="580" ht="30" customHeight="1" x14ac:dyDescent="0.3"/>
    <row r="581" ht="30" customHeight="1" x14ac:dyDescent="0.3"/>
    <row r="582" ht="30" customHeight="1" x14ac:dyDescent="0.3"/>
    <row r="583" ht="30" customHeight="1" x14ac:dyDescent="0.3"/>
    <row r="584" ht="30" customHeight="1" x14ac:dyDescent="0.3"/>
    <row r="585" ht="30" customHeight="1" x14ac:dyDescent="0.3"/>
    <row r="586" ht="30" customHeight="1" x14ac:dyDescent="0.3"/>
    <row r="587" ht="30" customHeight="1" x14ac:dyDescent="0.3"/>
    <row r="588" ht="30" customHeight="1" x14ac:dyDescent="0.3"/>
    <row r="589" ht="30" customHeight="1" x14ac:dyDescent="0.3"/>
    <row r="590" ht="30" customHeight="1" x14ac:dyDescent="0.3"/>
    <row r="591" ht="30" customHeight="1" x14ac:dyDescent="0.3"/>
    <row r="592" ht="30" customHeight="1" x14ac:dyDescent="0.3"/>
    <row r="593" ht="30" customHeight="1" x14ac:dyDescent="0.3"/>
    <row r="594" ht="30" customHeight="1" x14ac:dyDescent="0.3"/>
    <row r="595" ht="30" customHeight="1" x14ac:dyDescent="0.3"/>
    <row r="596" ht="30" customHeight="1" x14ac:dyDescent="0.3"/>
    <row r="597" ht="30" customHeight="1" x14ac:dyDescent="0.3"/>
    <row r="598" ht="30" customHeight="1" x14ac:dyDescent="0.3"/>
    <row r="599" ht="30" customHeight="1" x14ac:dyDescent="0.3"/>
    <row r="600" ht="30" customHeight="1" x14ac:dyDescent="0.3"/>
    <row r="601" ht="30" customHeight="1" x14ac:dyDescent="0.3"/>
    <row r="602" ht="30" customHeight="1" x14ac:dyDescent="0.3"/>
    <row r="603" ht="30" customHeight="1" x14ac:dyDescent="0.3"/>
    <row r="604" ht="30" customHeight="1" x14ac:dyDescent="0.3"/>
    <row r="605" ht="30" customHeight="1" x14ac:dyDescent="0.3"/>
    <row r="606" ht="30" customHeight="1" x14ac:dyDescent="0.3"/>
    <row r="607" ht="30" customHeight="1" x14ac:dyDescent="0.3"/>
    <row r="608" ht="30" customHeight="1" x14ac:dyDescent="0.3"/>
    <row r="609" ht="30" customHeight="1" x14ac:dyDescent="0.3"/>
    <row r="610" ht="30" customHeight="1" x14ac:dyDescent="0.3"/>
    <row r="611" ht="30" customHeight="1" x14ac:dyDescent="0.3"/>
    <row r="612" ht="30" customHeight="1" x14ac:dyDescent="0.3"/>
    <row r="613" ht="30" customHeight="1" x14ac:dyDescent="0.3"/>
    <row r="614" ht="30" customHeight="1" x14ac:dyDescent="0.3"/>
    <row r="615" ht="30" customHeight="1" x14ac:dyDescent="0.3"/>
    <row r="616" ht="30" customHeight="1" x14ac:dyDescent="0.3"/>
    <row r="617" ht="30" customHeight="1" x14ac:dyDescent="0.3"/>
    <row r="618" ht="30" customHeight="1" x14ac:dyDescent="0.3"/>
    <row r="619" ht="30" customHeight="1" x14ac:dyDescent="0.3"/>
    <row r="620" ht="30" customHeight="1" x14ac:dyDescent="0.3"/>
    <row r="621" ht="30" customHeight="1" x14ac:dyDescent="0.3"/>
    <row r="622" ht="30" customHeight="1" x14ac:dyDescent="0.3"/>
    <row r="623" ht="30" customHeight="1" x14ac:dyDescent="0.3"/>
    <row r="624" ht="30" customHeight="1" x14ac:dyDescent="0.3"/>
    <row r="625" ht="30" customHeight="1" x14ac:dyDescent="0.3"/>
    <row r="626" ht="30" customHeight="1" x14ac:dyDescent="0.3"/>
    <row r="627" ht="30" customHeight="1" x14ac:dyDescent="0.3"/>
    <row r="628" ht="30" customHeight="1" x14ac:dyDescent="0.3"/>
    <row r="629" ht="30" customHeight="1" x14ac:dyDescent="0.3"/>
    <row r="630" ht="30" customHeight="1" x14ac:dyDescent="0.3"/>
    <row r="631" ht="30" customHeight="1" x14ac:dyDescent="0.3"/>
    <row r="632" ht="30" customHeight="1" x14ac:dyDescent="0.3"/>
    <row r="633" ht="30" customHeight="1" x14ac:dyDescent="0.3"/>
    <row r="634" ht="30" customHeight="1" x14ac:dyDescent="0.3"/>
    <row r="635" ht="30" customHeight="1" x14ac:dyDescent="0.3"/>
    <row r="636" ht="30" customHeight="1" x14ac:dyDescent="0.3"/>
    <row r="637" ht="30" customHeight="1" x14ac:dyDescent="0.3"/>
    <row r="638" ht="30" customHeight="1" x14ac:dyDescent="0.3"/>
    <row r="639" ht="30" customHeight="1" x14ac:dyDescent="0.3"/>
    <row r="640" ht="30" customHeight="1" x14ac:dyDescent="0.3"/>
    <row r="641" ht="30" customHeight="1" x14ac:dyDescent="0.3"/>
    <row r="642" ht="30" customHeight="1" x14ac:dyDescent="0.3"/>
    <row r="643" ht="30" customHeight="1" x14ac:dyDescent="0.3"/>
    <row r="644" ht="30" customHeight="1" x14ac:dyDescent="0.3"/>
    <row r="645" ht="30" customHeight="1" x14ac:dyDescent="0.3"/>
    <row r="646" ht="30" customHeight="1" x14ac:dyDescent="0.3"/>
    <row r="647" ht="30" customHeight="1" x14ac:dyDescent="0.3"/>
    <row r="648" ht="30" customHeight="1" x14ac:dyDescent="0.3"/>
    <row r="649" ht="30" customHeight="1" x14ac:dyDescent="0.3"/>
    <row r="650" ht="30" customHeight="1" x14ac:dyDescent="0.3"/>
    <row r="651" ht="30" customHeight="1" x14ac:dyDescent="0.3"/>
    <row r="652" ht="30" customHeight="1" x14ac:dyDescent="0.3"/>
    <row r="653" ht="30" customHeight="1" x14ac:dyDescent="0.3"/>
    <row r="654" ht="30" customHeight="1" x14ac:dyDescent="0.3"/>
    <row r="655" ht="30" customHeight="1" x14ac:dyDescent="0.3"/>
    <row r="656" ht="30" customHeight="1" x14ac:dyDescent="0.3"/>
    <row r="657" ht="30" customHeight="1" x14ac:dyDescent="0.3"/>
    <row r="658" ht="30" customHeight="1" x14ac:dyDescent="0.3"/>
    <row r="659" ht="30" customHeight="1" x14ac:dyDescent="0.3"/>
    <row r="660" ht="30" customHeight="1" x14ac:dyDescent="0.3"/>
    <row r="661" ht="30" customHeight="1" x14ac:dyDescent="0.3"/>
    <row r="662" ht="30" customHeight="1" x14ac:dyDescent="0.3"/>
    <row r="663" ht="30" customHeight="1" x14ac:dyDescent="0.3"/>
    <row r="664" ht="30" customHeight="1" x14ac:dyDescent="0.3"/>
    <row r="665" ht="30" customHeight="1" x14ac:dyDescent="0.3"/>
    <row r="666" ht="30" customHeight="1" x14ac:dyDescent="0.3"/>
    <row r="667" ht="30" customHeight="1" x14ac:dyDescent="0.3"/>
    <row r="668" ht="30" customHeight="1" x14ac:dyDescent="0.3"/>
    <row r="669" ht="30" customHeight="1" x14ac:dyDescent="0.3"/>
    <row r="670" ht="30" customHeight="1" x14ac:dyDescent="0.3"/>
    <row r="671" ht="30" customHeight="1" x14ac:dyDescent="0.3"/>
    <row r="672" ht="30" customHeight="1" x14ac:dyDescent="0.3"/>
    <row r="673" ht="30" customHeight="1" x14ac:dyDescent="0.3"/>
    <row r="674" ht="30" customHeight="1" x14ac:dyDescent="0.3"/>
    <row r="675" ht="30" customHeight="1" x14ac:dyDescent="0.3"/>
    <row r="676" ht="30" customHeight="1" x14ac:dyDescent="0.3"/>
    <row r="677" ht="30" customHeight="1" x14ac:dyDescent="0.3"/>
    <row r="678" ht="30" customHeight="1" x14ac:dyDescent="0.3"/>
    <row r="679" ht="30" customHeight="1" x14ac:dyDescent="0.3"/>
    <row r="680" ht="30" customHeight="1" x14ac:dyDescent="0.3"/>
    <row r="681" ht="30" customHeight="1" x14ac:dyDescent="0.3"/>
    <row r="682" ht="30" customHeight="1" x14ac:dyDescent="0.3"/>
    <row r="683" ht="30" customHeight="1" x14ac:dyDescent="0.3"/>
    <row r="684" ht="30" customHeight="1" x14ac:dyDescent="0.3"/>
    <row r="685" ht="30" customHeight="1" x14ac:dyDescent="0.3"/>
    <row r="686" ht="30" customHeight="1" x14ac:dyDescent="0.3"/>
    <row r="687" ht="30" customHeight="1" x14ac:dyDescent="0.3"/>
    <row r="688" ht="30" customHeight="1" x14ac:dyDescent="0.3"/>
    <row r="689" ht="30" customHeight="1" x14ac:dyDescent="0.3"/>
    <row r="690" ht="30" customHeight="1" x14ac:dyDescent="0.3"/>
    <row r="691" ht="30" customHeight="1" x14ac:dyDescent="0.3"/>
    <row r="692" ht="30" customHeight="1" x14ac:dyDescent="0.3"/>
    <row r="693" ht="30" customHeight="1" x14ac:dyDescent="0.3"/>
    <row r="694" ht="30" customHeight="1" x14ac:dyDescent="0.3"/>
    <row r="695" ht="30" customHeight="1" x14ac:dyDescent="0.3"/>
    <row r="696" ht="30" customHeight="1" x14ac:dyDescent="0.3"/>
    <row r="697" ht="30" customHeight="1" x14ac:dyDescent="0.3"/>
    <row r="698" ht="30" customHeight="1" x14ac:dyDescent="0.3"/>
    <row r="699" ht="30" customHeight="1" x14ac:dyDescent="0.3"/>
    <row r="700" ht="30" customHeight="1" x14ac:dyDescent="0.3"/>
    <row r="701" ht="30" customHeight="1" x14ac:dyDescent="0.3"/>
    <row r="702" ht="30" customHeight="1" x14ac:dyDescent="0.3"/>
    <row r="703" ht="30" customHeight="1" x14ac:dyDescent="0.3"/>
    <row r="704" ht="30" customHeight="1" x14ac:dyDescent="0.3"/>
    <row r="705" ht="30" customHeight="1" x14ac:dyDescent="0.3"/>
    <row r="706" ht="30" customHeight="1" x14ac:dyDescent="0.3"/>
    <row r="707" ht="30" customHeight="1" x14ac:dyDescent="0.3"/>
    <row r="708" ht="30" customHeight="1" x14ac:dyDescent="0.3"/>
    <row r="709" ht="30" customHeight="1" x14ac:dyDescent="0.3"/>
    <row r="710" ht="30" customHeight="1" x14ac:dyDescent="0.3"/>
    <row r="711" ht="30" customHeight="1" x14ac:dyDescent="0.3"/>
    <row r="712" ht="30" customHeight="1" x14ac:dyDescent="0.3"/>
    <row r="713" ht="30" customHeight="1" x14ac:dyDescent="0.3"/>
    <row r="714" ht="30" customHeight="1" x14ac:dyDescent="0.3"/>
    <row r="715" ht="30" customHeight="1" x14ac:dyDescent="0.3"/>
    <row r="716" ht="30" customHeight="1" x14ac:dyDescent="0.3"/>
    <row r="717" ht="30" customHeight="1" x14ac:dyDescent="0.3"/>
    <row r="718" ht="30" customHeight="1" x14ac:dyDescent="0.3"/>
    <row r="719" ht="30" customHeight="1" x14ac:dyDescent="0.3"/>
    <row r="720" ht="30" customHeight="1" x14ac:dyDescent="0.3"/>
    <row r="721" ht="30" customHeight="1" x14ac:dyDescent="0.3"/>
    <row r="722" ht="30" customHeight="1" x14ac:dyDescent="0.3"/>
    <row r="723" ht="30" customHeight="1" x14ac:dyDescent="0.3"/>
    <row r="724" ht="30" customHeight="1" x14ac:dyDescent="0.3"/>
    <row r="725" ht="30" customHeight="1" x14ac:dyDescent="0.3"/>
    <row r="726" ht="30" customHeight="1" x14ac:dyDescent="0.3"/>
    <row r="727" ht="30" customHeight="1" x14ac:dyDescent="0.3"/>
    <row r="728" ht="30" customHeight="1" x14ac:dyDescent="0.3"/>
    <row r="729" ht="30" customHeight="1" x14ac:dyDescent="0.3"/>
    <row r="730" ht="30" customHeight="1" x14ac:dyDescent="0.3"/>
    <row r="731" ht="30" customHeight="1" x14ac:dyDescent="0.3"/>
    <row r="732" ht="30" customHeight="1" x14ac:dyDescent="0.3"/>
    <row r="733" ht="30" customHeight="1" x14ac:dyDescent="0.3"/>
    <row r="734" ht="30" customHeight="1" x14ac:dyDescent="0.3"/>
    <row r="735" ht="30" customHeight="1" x14ac:dyDescent="0.3"/>
    <row r="736" ht="30" customHeight="1" x14ac:dyDescent="0.3"/>
    <row r="737" ht="30" customHeight="1" x14ac:dyDescent="0.3"/>
    <row r="738" ht="30" customHeight="1" x14ac:dyDescent="0.3"/>
    <row r="739" ht="30" customHeight="1" x14ac:dyDescent="0.3"/>
    <row r="740" ht="30" customHeight="1" x14ac:dyDescent="0.3"/>
    <row r="741" ht="30" customHeight="1" x14ac:dyDescent="0.3"/>
    <row r="742" ht="30" customHeight="1" x14ac:dyDescent="0.3"/>
    <row r="743" ht="30" customHeight="1" x14ac:dyDescent="0.3"/>
    <row r="744" ht="30" customHeight="1" x14ac:dyDescent="0.3"/>
    <row r="745" ht="30" customHeight="1" x14ac:dyDescent="0.3"/>
    <row r="746" ht="30" customHeight="1" x14ac:dyDescent="0.3"/>
    <row r="747" ht="30" customHeight="1" x14ac:dyDescent="0.3"/>
    <row r="748" ht="30" customHeight="1" x14ac:dyDescent="0.3"/>
    <row r="749" ht="30" customHeight="1" x14ac:dyDescent="0.3"/>
    <row r="750" ht="30" customHeight="1" x14ac:dyDescent="0.3"/>
    <row r="751" ht="30" customHeight="1" x14ac:dyDescent="0.3"/>
    <row r="752" ht="30" customHeight="1" x14ac:dyDescent="0.3"/>
    <row r="753" ht="30" customHeight="1" x14ac:dyDescent="0.3"/>
    <row r="754" ht="30" customHeight="1" x14ac:dyDescent="0.3"/>
    <row r="755" ht="30" customHeight="1" x14ac:dyDescent="0.3"/>
    <row r="756" ht="30" customHeight="1" x14ac:dyDescent="0.3"/>
    <row r="757" ht="30" customHeight="1" x14ac:dyDescent="0.3"/>
    <row r="758" ht="30" customHeight="1" x14ac:dyDescent="0.3"/>
    <row r="759" ht="30" customHeight="1" x14ac:dyDescent="0.3"/>
  </sheetData>
  <sheetProtection password="EE20" sheet="1" objects="1" scenarios="1"/>
  <mergeCells count="2">
    <mergeCell ref="A2:I2"/>
    <mergeCell ref="A50:I50"/>
  </mergeCells>
  <dataValidations disablePrompts="1" count="1">
    <dataValidation allowBlank="1" showInputMessage="1" showErrorMessage="1" promptTitle="No input needed" prompt="SARI will be considered automatically" sqref="H7"/>
  </dataValidations>
  <pageMargins left="0.51181102362204722" right="0.31496062992125984" top="0.98425196850393704" bottom="0.59055118110236227" header="0.31496062992125984" footer="0.31496062992125984"/>
  <pageSetup paperSize="9" scale="90" orientation="portrait" verticalDpi="0" r:id="rId1"/>
  <headerFooter>
    <oddHeader>&amp;L&amp;20 &amp;K00-0333. Wireless&amp;R&amp;G</oddHeader>
    <oddFooter>&amp;C&amp;P</oddFooter>
  </headerFooter>
  <rowBreaks count="1" manualBreakCount="1">
    <brk id="115" min="1" max="8" man="1"/>
  </rowBreaks>
  <drawing r:id="rId2"/>
  <legacyDrawing r:id="rId3"/>
  <legacyDrawingHF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6"/>
  <sheetViews>
    <sheetView zoomScaleNormal="100" workbookViewId="0">
      <selection activeCell="H39" sqref="H39"/>
    </sheetView>
  </sheetViews>
  <sheetFormatPr baseColWidth="10" defaultColWidth="11.5546875" defaultRowHeight="13.8" x14ac:dyDescent="0.3"/>
  <cols>
    <col min="1" max="1" width="17.6640625" style="66" customWidth="1"/>
    <col min="2" max="2" width="18.5546875" style="66" customWidth="1"/>
    <col min="3" max="3" width="11.33203125" style="66" customWidth="1"/>
    <col min="4" max="4" width="14.6640625" style="66" customWidth="1"/>
    <col min="5" max="5" width="16.6640625" style="66" customWidth="1"/>
    <col min="6" max="6" width="12.88671875" style="66" customWidth="1"/>
    <col min="7" max="16384" width="11.5546875" style="66"/>
  </cols>
  <sheetData>
    <row r="1" spans="1:8" ht="45" customHeight="1" x14ac:dyDescent="0.3">
      <c r="A1" s="283"/>
      <c r="B1" s="283"/>
      <c r="C1" s="283"/>
      <c r="D1" s="283"/>
      <c r="E1" s="283"/>
      <c r="F1" s="283"/>
    </row>
    <row r="2" spans="1:8" ht="36" customHeight="1" x14ac:dyDescent="0.3">
      <c r="A2" s="500" t="s">
        <v>672</v>
      </c>
      <c r="B2" s="501"/>
      <c r="C2" s="501"/>
      <c r="D2" s="501"/>
      <c r="E2" s="501"/>
      <c r="F2" s="501"/>
    </row>
    <row r="3" spans="1:8" ht="14.4" thickBot="1" x14ac:dyDescent="0.35">
      <c r="A3" s="502"/>
      <c r="B3" s="503"/>
      <c r="C3" s="503"/>
      <c r="D3" s="503"/>
      <c r="E3" s="503"/>
      <c r="F3" s="216"/>
    </row>
    <row r="4" spans="1:8" ht="57.6" customHeight="1" thickBot="1" x14ac:dyDescent="0.35">
      <c r="A4" s="504" t="s">
        <v>673</v>
      </c>
      <c r="B4" s="659" t="s">
        <v>758</v>
      </c>
      <c r="C4" s="660"/>
      <c r="D4" s="660"/>
      <c r="E4" s="660"/>
      <c r="F4" s="661"/>
    </row>
    <row r="5" spans="1:8" ht="14.4" thickBot="1" x14ac:dyDescent="0.35">
      <c r="A5" s="502"/>
      <c r="B5" s="503"/>
      <c r="C5" s="503"/>
      <c r="D5" s="503"/>
      <c r="E5" s="503"/>
      <c r="F5" s="216"/>
    </row>
    <row r="6" spans="1:8" ht="85.95" customHeight="1" thickBot="1" x14ac:dyDescent="0.35">
      <c r="A6" s="504" t="s">
        <v>674</v>
      </c>
      <c r="B6" s="659" t="s">
        <v>850</v>
      </c>
      <c r="C6" s="660"/>
      <c r="D6" s="660"/>
      <c r="E6" s="660"/>
      <c r="F6" s="661"/>
    </row>
    <row r="7" spans="1:8" x14ac:dyDescent="0.3">
      <c r="A7" s="505"/>
      <c r="B7" s="506"/>
      <c r="C7" s="506"/>
      <c r="D7" s="506"/>
      <c r="E7" s="506"/>
      <c r="F7" s="244"/>
    </row>
    <row r="8" spans="1:8" ht="30" customHeight="1" x14ac:dyDescent="0.3">
      <c r="A8" s="655" t="s">
        <v>675</v>
      </c>
      <c r="B8" s="656"/>
      <c r="C8" s="656"/>
      <c r="D8" s="656"/>
      <c r="E8" s="656"/>
      <c r="F8" s="656"/>
      <c r="G8" s="656"/>
    </row>
    <row r="9" spans="1:8" x14ac:dyDescent="0.3">
      <c r="A9" s="122"/>
      <c r="B9" s="230"/>
      <c r="C9" s="230"/>
      <c r="D9" s="230"/>
      <c r="E9" s="231"/>
      <c r="F9" s="232"/>
    </row>
    <row r="10" spans="1:8" ht="30" customHeight="1" x14ac:dyDescent="0.3">
      <c r="A10" s="239" t="s">
        <v>676</v>
      </c>
      <c r="B10" s="239" t="s">
        <v>677</v>
      </c>
      <c r="C10" s="239" t="s">
        <v>678</v>
      </c>
      <c r="D10" s="239" t="s">
        <v>679</v>
      </c>
      <c r="E10" s="239" t="s">
        <v>680</v>
      </c>
      <c r="F10" s="239" t="s">
        <v>629</v>
      </c>
    </row>
    <row r="11" spans="1:8" x14ac:dyDescent="0.3">
      <c r="A11" s="447" t="s">
        <v>164</v>
      </c>
      <c r="B11" s="323" t="s">
        <v>756</v>
      </c>
      <c r="C11" s="234"/>
      <c r="D11" s="324">
        <v>0</v>
      </c>
      <c r="E11" s="235">
        <f>IF(B11="on purchase",E48,E80)</f>
        <v>12</v>
      </c>
      <c r="F11" s="46">
        <f>E11*D11*C11</f>
        <v>0</v>
      </c>
      <c r="H11" s="129"/>
    </row>
    <row r="12" spans="1:8" x14ac:dyDescent="0.3">
      <c r="A12" s="115" t="s">
        <v>893</v>
      </c>
      <c r="B12" s="323" t="s">
        <v>756</v>
      </c>
      <c r="C12" s="234"/>
      <c r="D12" s="324">
        <v>0</v>
      </c>
      <c r="E12" s="235">
        <f t="shared" ref="E12:E40" si="0">IF(B12="on purchase",E49,E81)</f>
        <v>17</v>
      </c>
      <c r="F12" s="46">
        <f t="shared" ref="F12:F15" si="1">E12*D12*C12</f>
        <v>0</v>
      </c>
      <c r="H12" s="129"/>
    </row>
    <row r="13" spans="1:8" x14ac:dyDescent="0.3">
      <c r="A13" s="115" t="s">
        <v>439</v>
      </c>
      <c r="B13" s="323" t="s">
        <v>756</v>
      </c>
      <c r="C13" s="234"/>
      <c r="D13" s="324">
        <v>0</v>
      </c>
      <c r="E13" s="235">
        <f t="shared" si="0"/>
        <v>19</v>
      </c>
      <c r="F13" s="46">
        <f t="shared" ref="F13" si="2">E13*D13*C13</f>
        <v>0</v>
      </c>
      <c r="H13" s="129"/>
    </row>
    <row r="14" spans="1:8" x14ac:dyDescent="0.3">
      <c r="A14" s="115" t="s">
        <v>440</v>
      </c>
      <c r="B14" s="323" t="s">
        <v>756</v>
      </c>
      <c r="C14" s="234"/>
      <c r="D14" s="324">
        <v>0</v>
      </c>
      <c r="E14" s="235">
        <f t="shared" si="0"/>
        <v>16</v>
      </c>
      <c r="F14" s="46">
        <f t="shared" si="1"/>
        <v>0</v>
      </c>
      <c r="H14" s="129"/>
    </row>
    <row r="15" spans="1:8" x14ac:dyDescent="0.3">
      <c r="A15" s="115" t="s">
        <v>441</v>
      </c>
      <c r="B15" s="323" t="s">
        <v>756</v>
      </c>
      <c r="C15" s="234"/>
      <c r="D15" s="324">
        <v>0</v>
      </c>
      <c r="E15" s="235">
        <f t="shared" si="0"/>
        <v>16</v>
      </c>
      <c r="F15" s="46">
        <f t="shared" si="1"/>
        <v>0</v>
      </c>
      <c r="H15" s="129"/>
    </row>
    <row r="16" spans="1:8" x14ac:dyDescent="0.3">
      <c r="A16" s="115" t="s">
        <v>442</v>
      </c>
      <c r="B16" s="323" t="s">
        <v>756</v>
      </c>
      <c r="C16" s="234"/>
      <c r="D16" s="324">
        <v>0</v>
      </c>
      <c r="E16" s="235">
        <f t="shared" si="0"/>
        <v>27</v>
      </c>
      <c r="F16" s="46">
        <f t="shared" ref="F16:F41" si="3">E16*D16*C16</f>
        <v>0</v>
      </c>
      <c r="H16" s="129"/>
    </row>
    <row r="17" spans="1:8" x14ac:dyDescent="0.3">
      <c r="A17" s="115" t="s">
        <v>443</v>
      </c>
      <c r="B17" s="323" t="s">
        <v>756</v>
      </c>
      <c r="C17" s="234"/>
      <c r="D17" s="324">
        <v>0</v>
      </c>
      <c r="E17" s="235">
        <f t="shared" si="0"/>
        <v>17.5</v>
      </c>
      <c r="F17" s="46">
        <f t="shared" si="3"/>
        <v>0</v>
      </c>
      <c r="H17" s="129"/>
    </row>
    <row r="18" spans="1:8" x14ac:dyDescent="0.3">
      <c r="A18" s="115" t="s">
        <v>444</v>
      </c>
      <c r="B18" s="323" t="s">
        <v>756</v>
      </c>
      <c r="C18" s="234"/>
      <c r="D18" s="324">
        <v>0</v>
      </c>
      <c r="E18" s="235">
        <f t="shared" si="0"/>
        <v>61.5</v>
      </c>
      <c r="F18" s="46">
        <f t="shared" si="3"/>
        <v>0</v>
      </c>
      <c r="H18" s="129"/>
    </row>
    <row r="19" spans="1:8" x14ac:dyDescent="0.3">
      <c r="A19" s="115" t="s">
        <v>466</v>
      </c>
      <c r="B19" s="323" t="s">
        <v>756</v>
      </c>
      <c r="C19" s="234"/>
      <c r="D19" s="324">
        <v>0</v>
      </c>
      <c r="E19" s="235">
        <f t="shared" si="0"/>
        <v>49</v>
      </c>
      <c r="F19" s="46">
        <f t="shared" si="3"/>
        <v>0</v>
      </c>
      <c r="H19" s="129"/>
    </row>
    <row r="20" spans="1:8" x14ac:dyDescent="0.3">
      <c r="A20" s="115" t="s">
        <v>174</v>
      </c>
      <c r="B20" s="323" t="s">
        <v>756</v>
      </c>
      <c r="C20" s="234"/>
      <c r="D20" s="324">
        <v>0</v>
      </c>
      <c r="E20" s="235">
        <f t="shared" si="0"/>
        <v>286</v>
      </c>
      <c r="F20" s="46">
        <f t="shared" si="3"/>
        <v>0</v>
      </c>
      <c r="H20" s="129"/>
    </row>
    <row r="21" spans="1:8" x14ac:dyDescent="0.3">
      <c r="A21" s="240" t="s">
        <v>63</v>
      </c>
      <c r="B21" s="323" t="s">
        <v>756</v>
      </c>
      <c r="C21" s="234"/>
      <c r="D21" s="324">
        <v>0</v>
      </c>
      <c r="E21" s="235">
        <f t="shared" si="0"/>
        <v>19</v>
      </c>
      <c r="F21" s="46">
        <f t="shared" si="3"/>
        <v>0</v>
      </c>
      <c r="H21" s="129"/>
    </row>
    <row r="22" spans="1:8" x14ac:dyDescent="0.3">
      <c r="A22" s="115" t="s">
        <v>322</v>
      </c>
      <c r="B22" s="323" t="s">
        <v>756</v>
      </c>
      <c r="C22" s="234"/>
      <c r="D22" s="324">
        <v>0</v>
      </c>
      <c r="E22" s="235">
        <f t="shared" si="0"/>
        <v>5.5</v>
      </c>
      <c r="F22" s="46">
        <f t="shared" si="3"/>
        <v>0</v>
      </c>
      <c r="H22" s="129"/>
    </row>
    <row r="23" spans="1:8" x14ac:dyDescent="0.3">
      <c r="A23" s="115" t="s">
        <v>445</v>
      </c>
      <c r="B23" s="323" t="s">
        <v>756</v>
      </c>
      <c r="C23" s="234"/>
      <c r="D23" s="324">
        <v>0</v>
      </c>
      <c r="E23" s="235">
        <f t="shared" si="0"/>
        <v>6</v>
      </c>
      <c r="F23" s="46">
        <f t="shared" si="3"/>
        <v>0</v>
      </c>
      <c r="H23" s="129"/>
    </row>
    <row r="24" spans="1:8" x14ac:dyDescent="0.3">
      <c r="A24" s="115" t="s">
        <v>681</v>
      </c>
      <c r="B24" s="323" t="s">
        <v>756</v>
      </c>
      <c r="C24" s="234"/>
      <c r="D24" s="324">
        <v>0</v>
      </c>
      <c r="E24" s="235">
        <f t="shared" si="0"/>
        <v>7</v>
      </c>
      <c r="F24" s="46">
        <f t="shared" si="3"/>
        <v>0</v>
      </c>
      <c r="H24" s="129"/>
    </row>
    <row r="25" spans="1:8" x14ac:dyDescent="0.3">
      <c r="A25" s="115" t="s">
        <v>685</v>
      </c>
      <c r="B25" s="323" t="s">
        <v>756</v>
      </c>
      <c r="C25" s="234"/>
      <c r="D25" s="324">
        <v>0</v>
      </c>
      <c r="E25" s="235">
        <f t="shared" si="0"/>
        <v>9</v>
      </c>
      <c r="F25" s="46">
        <f t="shared" si="3"/>
        <v>0</v>
      </c>
      <c r="H25" s="129"/>
    </row>
    <row r="26" spans="1:8" x14ac:dyDescent="0.3">
      <c r="A26" s="115" t="s">
        <v>682</v>
      </c>
      <c r="B26" s="323" t="s">
        <v>756</v>
      </c>
      <c r="C26" s="234"/>
      <c r="D26" s="324">
        <v>0</v>
      </c>
      <c r="E26" s="235">
        <f t="shared" si="0"/>
        <v>9</v>
      </c>
      <c r="F26" s="46">
        <f t="shared" si="3"/>
        <v>0</v>
      </c>
      <c r="H26" s="129"/>
    </row>
    <row r="27" spans="1:8" x14ac:dyDescent="0.3">
      <c r="A27" s="115" t="s">
        <v>684</v>
      </c>
      <c r="B27" s="323" t="s">
        <v>756</v>
      </c>
      <c r="C27" s="234"/>
      <c r="D27" s="324">
        <v>0</v>
      </c>
      <c r="E27" s="235">
        <f t="shared" si="0"/>
        <v>11</v>
      </c>
      <c r="F27" s="46">
        <f t="shared" si="3"/>
        <v>0</v>
      </c>
      <c r="H27" s="129"/>
    </row>
    <row r="28" spans="1:8" x14ac:dyDescent="0.3">
      <c r="A28" s="115" t="s">
        <v>683</v>
      </c>
      <c r="B28" s="323" t="s">
        <v>756</v>
      </c>
      <c r="C28" s="234"/>
      <c r="D28" s="324">
        <v>0</v>
      </c>
      <c r="E28" s="235">
        <f t="shared" si="0"/>
        <v>7</v>
      </c>
      <c r="F28" s="46">
        <f t="shared" si="3"/>
        <v>0</v>
      </c>
      <c r="H28" s="129"/>
    </row>
    <row r="29" spans="1:8" x14ac:dyDescent="0.3">
      <c r="A29" s="115" t="s">
        <v>686</v>
      </c>
      <c r="B29" s="323" t="s">
        <v>756</v>
      </c>
      <c r="C29" s="234"/>
      <c r="D29" s="324">
        <v>0</v>
      </c>
      <c r="E29" s="235">
        <f t="shared" si="0"/>
        <v>8</v>
      </c>
      <c r="F29" s="46">
        <f t="shared" si="3"/>
        <v>0</v>
      </c>
      <c r="H29" s="129"/>
    </row>
    <row r="30" spans="1:8" x14ac:dyDescent="0.3">
      <c r="A30" s="115" t="s">
        <v>201</v>
      </c>
      <c r="B30" s="323" t="s">
        <v>756</v>
      </c>
      <c r="C30" s="234"/>
      <c r="D30" s="324">
        <v>0</v>
      </c>
      <c r="E30" s="235">
        <f t="shared" si="0"/>
        <v>11</v>
      </c>
      <c r="F30" s="46">
        <f t="shared" si="3"/>
        <v>0</v>
      </c>
      <c r="H30" s="129"/>
    </row>
    <row r="31" spans="1:8" x14ac:dyDescent="0.3">
      <c r="A31" s="115" t="s">
        <v>173</v>
      </c>
      <c r="B31" s="323" t="s">
        <v>756</v>
      </c>
      <c r="C31" s="234"/>
      <c r="D31" s="324">
        <v>0</v>
      </c>
      <c r="E31" s="235">
        <f t="shared" si="0"/>
        <v>8</v>
      </c>
      <c r="F31" s="46">
        <f t="shared" si="3"/>
        <v>0</v>
      </c>
      <c r="H31" s="129"/>
    </row>
    <row r="32" spans="1:8" x14ac:dyDescent="0.3">
      <c r="A32" s="115" t="s">
        <v>446</v>
      </c>
      <c r="B32" s="323" t="s">
        <v>756</v>
      </c>
      <c r="C32" s="234"/>
      <c r="D32" s="324">
        <v>0</v>
      </c>
      <c r="E32" s="235">
        <f t="shared" si="0"/>
        <v>5.5</v>
      </c>
      <c r="F32" s="46">
        <f t="shared" si="3"/>
        <v>0</v>
      </c>
      <c r="H32" s="129"/>
    </row>
    <row r="33" spans="1:9" x14ac:dyDescent="0.3">
      <c r="A33" s="115" t="s">
        <v>296</v>
      </c>
      <c r="B33" s="323" t="s">
        <v>756</v>
      </c>
      <c r="C33" s="234"/>
      <c r="D33" s="324">
        <v>0</v>
      </c>
      <c r="E33" s="235">
        <f t="shared" si="0"/>
        <v>27</v>
      </c>
      <c r="F33" s="46">
        <f t="shared" si="3"/>
        <v>0</v>
      </c>
      <c r="H33" s="129"/>
    </row>
    <row r="34" spans="1:9" x14ac:dyDescent="0.3">
      <c r="A34" s="115" t="s">
        <v>911</v>
      </c>
      <c r="B34" s="323" t="s">
        <v>756</v>
      </c>
      <c r="C34" s="234"/>
      <c r="D34" s="324">
        <v>0</v>
      </c>
      <c r="E34" s="235">
        <f t="shared" si="0"/>
        <v>3.5</v>
      </c>
      <c r="F34" s="46">
        <f t="shared" si="3"/>
        <v>0</v>
      </c>
      <c r="H34" s="129"/>
    </row>
    <row r="35" spans="1:9" x14ac:dyDescent="0.3">
      <c r="A35" s="115" t="s">
        <v>176</v>
      </c>
      <c r="B35" s="323" t="s">
        <v>756</v>
      </c>
      <c r="C35" s="234"/>
      <c r="D35" s="324">
        <v>0</v>
      </c>
      <c r="E35" s="235">
        <f t="shared" si="0"/>
        <v>9</v>
      </c>
      <c r="F35" s="46">
        <f t="shared" si="3"/>
        <v>0</v>
      </c>
      <c r="H35" s="129"/>
    </row>
    <row r="36" spans="1:9" x14ac:dyDescent="0.3">
      <c r="A36" s="115" t="s">
        <v>297</v>
      </c>
      <c r="B36" s="323" t="s">
        <v>756</v>
      </c>
      <c r="C36" s="234"/>
      <c r="D36" s="324">
        <v>0</v>
      </c>
      <c r="E36" s="235">
        <f t="shared" si="0"/>
        <v>12</v>
      </c>
      <c r="F36" s="46">
        <f t="shared" si="3"/>
        <v>0</v>
      </c>
      <c r="H36" s="129"/>
    </row>
    <row r="37" spans="1:9" x14ac:dyDescent="0.3">
      <c r="A37" s="115" t="s">
        <v>298</v>
      </c>
      <c r="B37" s="323" t="s">
        <v>756</v>
      </c>
      <c r="C37" s="234"/>
      <c r="D37" s="324">
        <v>0</v>
      </c>
      <c r="E37" s="235">
        <f t="shared" si="0"/>
        <v>17.5</v>
      </c>
      <c r="F37" s="46">
        <f t="shared" si="3"/>
        <v>0</v>
      </c>
      <c r="H37" s="129"/>
      <c r="I37" s="360"/>
    </row>
    <row r="38" spans="1:9" x14ac:dyDescent="0.3">
      <c r="A38" s="115" t="s">
        <v>849</v>
      </c>
      <c r="B38" s="323" t="s">
        <v>756</v>
      </c>
      <c r="C38" s="234"/>
      <c r="D38" s="324">
        <v>0</v>
      </c>
      <c r="E38" s="235">
        <f t="shared" si="0"/>
        <v>32.5</v>
      </c>
      <c r="F38" s="46">
        <f t="shared" si="3"/>
        <v>0</v>
      </c>
      <c r="H38" s="129"/>
    </row>
    <row r="39" spans="1:9" x14ac:dyDescent="0.3">
      <c r="A39" s="115" t="s">
        <v>192</v>
      </c>
      <c r="B39" s="323" t="s">
        <v>756</v>
      </c>
      <c r="C39" s="234"/>
      <c r="D39" s="324">
        <v>0</v>
      </c>
      <c r="E39" s="235">
        <f t="shared" si="0"/>
        <v>31</v>
      </c>
      <c r="F39" s="46">
        <f t="shared" si="3"/>
        <v>0</v>
      </c>
      <c r="H39" s="129"/>
    </row>
    <row r="40" spans="1:9" x14ac:dyDescent="0.3">
      <c r="A40" s="115" t="s">
        <v>94</v>
      </c>
      <c r="B40" s="323" t="s">
        <v>756</v>
      </c>
      <c r="C40" s="234"/>
      <c r="D40" s="324">
        <v>0</v>
      </c>
      <c r="E40" s="235">
        <f t="shared" si="0"/>
        <v>35.5</v>
      </c>
      <c r="F40" s="46">
        <f t="shared" si="3"/>
        <v>0</v>
      </c>
      <c r="H40" s="129"/>
    </row>
    <row r="41" spans="1:9" ht="14.4" thickBot="1" x14ac:dyDescent="0.35">
      <c r="A41" s="115" t="s">
        <v>447</v>
      </c>
      <c r="B41" s="323" t="s">
        <v>756</v>
      </c>
      <c r="C41" s="234"/>
      <c r="D41" s="324">
        <v>0</v>
      </c>
      <c r="E41" s="235">
        <f>IF(B41="on purchase",E78,E110)</f>
        <v>16.5</v>
      </c>
      <c r="F41" s="46">
        <f t="shared" si="3"/>
        <v>0</v>
      </c>
      <c r="H41" s="129"/>
    </row>
    <row r="42" spans="1:9" ht="23.4" customHeight="1" thickTop="1" thickBot="1" x14ac:dyDescent="0.35">
      <c r="A42" s="630" t="s">
        <v>687</v>
      </c>
      <c r="B42" s="40"/>
      <c r="C42" s="40"/>
      <c r="D42" s="40"/>
      <c r="E42" s="217"/>
      <c r="F42" s="356">
        <f>SUM(F11:F41)</f>
        <v>0</v>
      </c>
    </row>
    <row r="43" spans="1:9" ht="30" customHeight="1" thickTop="1" x14ac:dyDescent="0.3">
      <c r="A43" s="238"/>
      <c r="B43" s="233"/>
      <c r="C43" s="233"/>
      <c r="D43" s="233"/>
      <c r="E43" s="233"/>
      <c r="F43" s="5"/>
    </row>
    <row r="44" spans="1:9" ht="30" customHeight="1" x14ac:dyDescent="0.3">
      <c r="A44" s="238"/>
      <c r="B44" s="233"/>
      <c r="C44" s="233"/>
      <c r="D44" s="233"/>
      <c r="E44" s="233"/>
      <c r="F44" s="5"/>
    </row>
    <row r="45" spans="1:9" ht="30" customHeight="1" x14ac:dyDescent="0.3">
      <c r="A45" s="238"/>
      <c r="B45" s="233"/>
      <c r="C45" s="233"/>
      <c r="D45" s="233"/>
      <c r="E45" s="233"/>
      <c r="F45" s="5"/>
    </row>
    <row r="46" spans="1:9" ht="42" customHeight="1" x14ac:dyDescent="0.3">
      <c r="A46" s="103" t="s">
        <v>534</v>
      </c>
      <c r="B46" s="498"/>
      <c r="C46" s="498"/>
      <c r="D46" s="498"/>
      <c r="E46" s="104"/>
      <c r="F46" s="156"/>
      <c r="G46" s="156"/>
    </row>
    <row r="47" spans="1:9" ht="13.95" customHeight="1" x14ac:dyDescent="0.3">
      <c r="A47" s="239" t="s">
        <v>670</v>
      </c>
      <c r="B47" s="239" t="s">
        <v>688</v>
      </c>
      <c r="C47" s="662" t="s">
        <v>519</v>
      </c>
      <c r="D47" s="663"/>
      <c r="E47" s="387" t="s">
        <v>520</v>
      </c>
      <c r="F47" s="387" t="s">
        <v>521</v>
      </c>
      <c r="G47" s="388" t="s">
        <v>629</v>
      </c>
    </row>
    <row r="48" spans="1:9" ht="27" customHeight="1" x14ac:dyDescent="0.3">
      <c r="A48" s="114" t="s">
        <v>130</v>
      </c>
      <c r="B48" s="115" t="s">
        <v>131</v>
      </c>
      <c r="C48" s="657" t="s">
        <v>689</v>
      </c>
      <c r="D48" s="658"/>
      <c r="E48" s="396">
        <v>12</v>
      </c>
      <c r="F48" s="178">
        <f>IF(B11="on purchase",C11*D11,0)</f>
        <v>0</v>
      </c>
      <c r="G48" s="354">
        <f>E48*F48</f>
        <v>0</v>
      </c>
    </row>
    <row r="49" spans="1:7" ht="27" customHeight="1" x14ac:dyDescent="0.3">
      <c r="A49" s="114" t="s">
        <v>894</v>
      </c>
      <c r="B49" s="115" t="s">
        <v>895</v>
      </c>
      <c r="C49" s="657" t="s">
        <v>903</v>
      </c>
      <c r="D49" s="658"/>
      <c r="E49" s="396">
        <v>17</v>
      </c>
      <c r="F49" s="178">
        <f>IF(B12="on purchase",C12*D12,0)</f>
        <v>0</v>
      </c>
      <c r="G49" s="354">
        <f t="shared" ref="G49" si="4">E49*F49</f>
        <v>0</v>
      </c>
    </row>
    <row r="50" spans="1:7" ht="27" customHeight="1" x14ac:dyDescent="0.3">
      <c r="A50" s="114" t="s">
        <v>424</v>
      </c>
      <c r="B50" s="115" t="s">
        <v>423</v>
      </c>
      <c r="C50" s="657" t="s">
        <v>690</v>
      </c>
      <c r="D50" s="658"/>
      <c r="E50" s="396">
        <v>19</v>
      </c>
      <c r="F50" s="178">
        <f t="shared" ref="F50:F77" si="5">IF(B13="on purchase",C13*D13,0)</f>
        <v>0</v>
      </c>
      <c r="G50" s="354">
        <f t="shared" ref="G50:G78" si="6">E50*F50</f>
        <v>0</v>
      </c>
    </row>
    <row r="51" spans="1:7" ht="27" customHeight="1" x14ac:dyDescent="0.3">
      <c r="A51" s="114" t="s">
        <v>429</v>
      </c>
      <c r="B51" s="115" t="s">
        <v>430</v>
      </c>
      <c r="C51" s="657" t="s">
        <v>691</v>
      </c>
      <c r="D51" s="658"/>
      <c r="E51" s="396">
        <v>16</v>
      </c>
      <c r="F51" s="178">
        <f t="shared" si="5"/>
        <v>0</v>
      </c>
      <c r="G51" s="354">
        <f t="shared" si="6"/>
        <v>0</v>
      </c>
    </row>
    <row r="52" spans="1:7" ht="27" customHeight="1" x14ac:dyDescent="0.3">
      <c r="A52" s="114" t="s">
        <v>431</v>
      </c>
      <c r="B52" s="115" t="s">
        <v>432</v>
      </c>
      <c r="C52" s="657" t="s">
        <v>692</v>
      </c>
      <c r="D52" s="658"/>
      <c r="E52" s="396">
        <v>16</v>
      </c>
      <c r="F52" s="178">
        <f t="shared" si="5"/>
        <v>0</v>
      </c>
      <c r="G52" s="354">
        <f t="shared" si="6"/>
        <v>0</v>
      </c>
    </row>
    <row r="53" spans="1:7" ht="27" customHeight="1" x14ac:dyDescent="0.3">
      <c r="A53" s="114" t="s">
        <v>427</v>
      </c>
      <c r="B53" s="115" t="s">
        <v>428</v>
      </c>
      <c r="C53" s="657" t="s">
        <v>693</v>
      </c>
      <c r="D53" s="658"/>
      <c r="E53" s="396">
        <v>27</v>
      </c>
      <c r="F53" s="178">
        <f t="shared" si="5"/>
        <v>0</v>
      </c>
      <c r="G53" s="354">
        <f t="shared" si="6"/>
        <v>0</v>
      </c>
    </row>
    <row r="54" spans="1:7" ht="27" customHeight="1" x14ac:dyDescent="0.3">
      <c r="A54" s="114" t="s">
        <v>437</v>
      </c>
      <c r="B54" s="115" t="s">
        <v>438</v>
      </c>
      <c r="C54" s="657" t="s">
        <v>694</v>
      </c>
      <c r="D54" s="658"/>
      <c r="E54" s="396">
        <v>17.5</v>
      </c>
      <c r="F54" s="178">
        <f t="shared" si="5"/>
        <v>0</v>
      </c>
      <c r="G54" s="354">
        <f t="shared" si="6"/>
        <v>0</v>
      </c>
    </row>
    <row r="55" spans="1:7" ht="27" customHeight="1" x14ac:dyDescent="0.3">
      <c r="A55" s="114" t="s">
        <v>435</v>
      </c>
      <c r="B55" s="115" t="s">
        <v>436</v>
      </c>
      <c r="C55" s="657" t="s">
        <v>695</v>
      </c>
      <c r="D55" s="658"/>
      <c r="E55" s="396">
        <v>61.5</v>
      </c>
      <c r="F55" s="178">
        <f t="shared" si="5"/>
        <v>0</v>
      </c>
      <c r="G55" s="354">
        <f t="shared" si="6"/>
        <v>0</v>
      </c>
    </row>
    <row r="56" spans="1:7" ht="27" customHeight="1" x14ac:dyDescent="0.3">
      <c r="A56" s="114" t="s">
        <v>433</v>
      </c>
      <c r="B56" s="115" t="s">
        <v>434</v>
      </c>
      <c r="C56" s="657" t="s">
        <v>696</v>
      </c>
      <c r="D56" s="658"/>
      <c r="E56" s="396">
        <v>49</v>
      </c>
      <c r="F56" s="178">
        <f t="shared" si="5"/>
        <v>0</v>
      </c>
      <c r="G56" s="354">
        <f t="shared" si="6"/>
        <v>0</v>
      </c>
    </row>
    <row r="57" spans="1:7" ht="27" customHeight="1" x14ac:dyDescent="0.3">
      <c r="A57" s="114" t="s">
        <v>207</v>
      </c>
      <c r="B57" s="115" t="s">
        <v>208</v>
      </c>
      <c r="C57" s="657" t="s">
        <v>697</v>
      </c>
      <c r="D57" s="658"/>
      <c r="E57" s="396">
        <v>286</v>
      </c>
      <c r="F57" s="178">
        <f t="shared" si="5"/>
        <v>0</v>
      </c>
      <c r="G57" s="354">
        <f t="shared" si="6"/>
        <v>0</v>
      </c>
    </row>
    <row r="58" spans="1:7" ht="27" customHeight="1" x14ac:dyDescent="0.3">
      <c r="A58" s="114" t="s">
        <v>64</v>
      </c>
      <c r="B58" s="240" t="s">
        <v>65</v>
      </c>
      <c r="C58" s="657" t="s">
        <v>698</v>
      </c>
      <c r="D58" s="658"/>
      <c r="E58" s="507">
        <v>19</v>
      </c>
      <c r="F58" s="178">
        <f t="shared" si="5"/>
        <v>0</v>
      </c>
      <c r="G58" s="354">
        <f t="shared" si="6"/>
        <v>0</v>
      </c>
    </row>
    <row r="59" spans="1:7" ht="27" customHeight="1" x14ac:dyDescent="0.3">
      <c r="A59" s="114" t="s">
        <v>330</v>
      </c>
      <c r="B59" s="115" t="s">
        <v>331</v>
      </c>
      <c r="C59" s="657" t="s">
        <v>699</v>
      </c>
      <c r="D59" s="658"/>
      <c r="E59" s="396">
        <v>5.5</v>
      </c>
      <c r="F59" s="178">
        <f t="shared" si="5"/>
        <v>0</v>
      </c>
      <c r="G59" s="354">
        <f t="shared" si="6"/>
        <v>0</v>
      </c>
    </row>
    <row r="60" spans="1:7" ht="27" customHeight="1" x14ac:dyDescent="0.3">
      <c r="A60" s="114" t="s">
        <v>421</v>
      </c>
      <c r="B60" s="115" t="s">
        <v>422</v>
      </c>
      <c r="C60" s="657" t="s">
        <v>700</v>
      </c>
      <c r="D60" s="658"/>
      <c r="E60" s="396">
        <v>6</v>
      </c>
      <c r="F60" s="178">
        <f t="shared" si="5"/>
        <v>0</v>
      </c>
      <c r="G60" s="354">
        <f t="shared" si="6"/>
        <v>0</v>
      </c>
    </row>
    <row r="61" spans="1:7" ht="27" customHeight="1" x14ac:dyDescent="0.3">
      <c r="A61" s="114" t="s">
        <v>204</v>
      </c>
      <c r="B61" s="115" t="s">
        <v>724</v>
      </c>
      <c r="C61" s="657" t="s">
        <v>702</v>
      </c>
      <c r="D61" s="658"/>
      <c r="E61" s="396">
        <v>7</v>
      </c>
      <c r="F61" s="178">
        <f t="shared" si="5"/>
        <v>0</v>
      </c>
      <c r="G61" s="354">
        <f t="shared" si="6"/>
        <v>0</v>
      </c>
    </row>
    <row r="62" spans="1:7" ht="27" customHeight="1" x14ac:dyDescent="0.3">
      <c r="A62" s="114" t="s">
        <v>120</v>
      </c>
      <c r="B62" s="115" t="s">
        <v>723</v>
      </c>
      <c r="C62" s="657" t="s">
        <v>701</v>
      </c>
      <c r="D62" s="658"/>
      <c r="E62" s="396">
        <v>9</v>
      </c>
      <c r="F62" s="178">
        <f t="shared" si="5"/>
        <v>0</v>
      </c>
      <c r="G62" s="354">
        <f t="shared" si="6"/>
        <v>0</v>
      </c>
    </row>
    <row r="63" spans="1:7" ht="27" customHeight="1" x14ac:dyDescent="0.3">
      <c r="A63" s="114" t="s">
        <v>206</v>
      </c>
      <c r="B63" s="115" t="s">
        <v>722</v>
      </c>
      <c r="C63" s="657" t="s">
        <v>703</v>
      </c>
      <c r="D63" s="658"/>
      <c r="E63" s="396">
        <v>9</v>
      </c>
      <c r="F63" s="178">
        <f t="shared" si="5"/>
        <v>0</v>
      </c>
      <c r="G63" s="354">
        <f t="shared" si="6"/>
        <v>0</v>
      </c>
    </row>
    <row r="64" spans="1:7" ht="27" customHeight="1" x14ac:dyDescent="0.3">
      <c r="A64" s="114" t="s">
        <v>121</v>
      </c>
      <c r="B64" s="115" t="s">
        <v>719</v>
      </c>
      <c r="C64" s="657" t="s">
        <v>704</v>
      </c>
      <c r="D64" s="658"/>
      <c r="E64" s="396">
        <v>11</v>
      </c>
      <c r="F64" s="178">
        <f t="shared" si="5"/>
        <v>0</v>
      </c>
      <c r="G64" s="354">
        <f t="shared" si="6"/>
        <v>0</v>
      </c>
    </row>
    <row r="65" spans="1:7" ht="27" customHeight="1" x14ac:dyDescent="0.3">
      <c r="A65" s="114" t="s">
        <v>334</v>
      </c>
      <c r="B65" s="115" t="s">
        <v>721</v>
      </c>
      <c r="C65" s="657" t="s">
        <v>705</v>
      </c>
      <c r="D65" s="658"/>
      <c r="E65" s="396">
        <v>7</v>
      </c>
      <c r="F65" s="178">
        <f t="shared" si="5"/>
        <v>0</v>
      </c>
      <c r="G65" s="354">
        <f t="shared" si="6"/>
        <v>0</v>
      </c>
    </row>
    <row r="66" spans="1:7" ht="27" customHeight="1" x14ac:dyDescent="0.3">
      <c r="A66" s="114" t="s">
        <v>335</v>
      </c>
      <c r="B66" s="115" t="s">
        <v>720</v>
      </c>
      <c r="C66" s="657" t="s">
        <v>706</v>
      </c>
      <c r="D66" s="658"/>
      <c r="E66" s="396">
        <v>8</v>
      </c>
      <c r="F66" s="178">
        <f t="shared" si="5"/>
        <v>0</v>
      </c>
      <c r="G66" s="354">
        <f t="shared" si="6"/>
        <v>0</v>
      </c>
    </row>
    <row r="67" spans="1:7" ht="27" customHeight="1" x14ac:dyDescent="0.3">
      <c r="A67" s="114" t="s">
        <v>136</v>
      </c>
      <c r="B67" s="115" t="s">
        <v>137</v>
      </c>
      <c r="C67" s="657" t="s">
        <v>707</v>
      </c>
      <c r="D67" s="658"/>
      <c r="E67" s="396">
        <v>11</v>
      </c>
      <c r="F67" s="178">
        <f t="shared" si="5"/>
        <v>0</v>
      </c>
      <c r="G67" s="354">
        <f t="shared" si="6"/>
        <v>0</v>
      </c>
    </row>
    <row r="68" spans="1:7" ht="27" customHeight="1" x14ac:dyDescent="0.3">
      <c r="A68" s="114" t="s">
        <v>202</v>
      </c>
      <c r="B68" s="115" t="s">
        <v>203</v>
      </c>
      <c r="C68" s="657" t="s">
        <v>708</v>
      </c>
      <c r="D68" s="658"/>
      <c r="E68" s="396">
        <v>8</v>
      </c>
      <c r="F68" s="178">
        <f t="shared" si="5"/>
        <v>0</v>
      </c>
      <c r="G68" s="354">
        <f t="shared" si="6"/>
        <v>0</v>
      </c>
    </row>
    <row r="69" spans="1:7" ht="27" customHeight="1" x14ac:dyDescent="0.3">
      <c r="A69" s="114" t="s">
        <v>132</v>
      </c>
      <c r="B69" s="115" t="s">
        <v>133</v>
      </c>
      <c r="C69" s="657" t="s">
        <v>709</v>
      </c>
      <c r="D69" s="658"/>
      <c r="E69" s="396">
        <v>5.5</v>
      </c>
      <c r="F69" s="178">
        <f t="shared" si="5"/>
        <v>0</v>
      </c>
      <c r="G69" s="354">
        <f t="shared" si="6"/>
        <v>0</v>
      </c>
    </row>
    <row r="70" spans="1:7" ht="27" customHeight="1" x14ac:dyDescent="0.3">
      <c r="A70" s="114" t="s">
        <v>134</v>
      </c>
      <c r="B70" s="115" t="s">
        <v>135</v>
      </c>
      <c r="C70" s="657" t="s">
        <v>710</v>
      </c>
      <c r="D70" s="658"/>
      <c r="E70" s="396">
        <v>27</v>
      </c>
      <c r="F70" s="178">
        <f t="shared" si="5"/>
        <v>0</v>
      </c>
      <c r="G70" s="354">
        <f t="shared" si="6"/>
        <v>0</v>
      </c>
    </row>
    <row r="71" spans="1:7" ht="27" customHeight="1" x14ac:dyDescent="0.3">
      <c r="A71" s="114" t="s">
        <v>209</v>
      </c>
      <c r="B71" s="115" t="s">
        <v>937</v>
      </c>
      <c r="C71" s="657" t="s">
        <v>938</v>
      </c>
      <c r="D71" s="658"/>
      <c r="E71" s="396">
        <v>3.5</v>
      </c>
      <c r="F71" s="178">
        <f t="shared" si="5"/>
        <v>0</v>
      </c>
      <c r="G71" s="354">
        <f t="shared" si="6"/>
        <v>0</v>
      </c>
    </row>
    <row r="72" spans="1:7" ht="27" customHeight="1" x14ac:dyDescent="0.3">
      <c r="A72" s="114" t="s">
        <v>146</v>
      </c>
      <c r="B72" s="115" t="s">
        <v>210</v>
      </c>
      <c r="C72" s="657" t="s">
        <v>711</v>
      </c>
      <c r="D72" s="658"/>
      <c r="E72" s="396">
        <v>9</v>
      </c>
      <c r="F72" s="178">
        <f t="shared" si="5"/>
        <v>0</v>
      </c>
      <c r="G72" s="354">
        <f t="shared" si="6"/>
        <v>0</v>
      </c>
    </row>
    <row r="73" spans="1:7" ht="27" customHeight="1" x14ac:dyDescent="0.3">
      <c r="A73" s="114" t="s">
        <v>147</v>
      </c>
      <c r="B73" s="115" t="s">
        <v>0</v>
      </c>
      <c r="C73" s="657" t="s">
        <v>712</v>
      </c>
      <c r="D73" s="658"/>
      <c r="E73" s="396">
        <v>12</v>
      </c>
      <c r="F73" s="178">
        <f t="shared" si="5"/>
        <v>0</v>
      </c>
      <c r="G73" s="354">
        <f t="shared" si="6"/>
        <v>0</v>
      </c>
    </row>
    <row r="74" spans="1:7" ht="27" customHeight="1" x14ac:dyDescent="0.3">
      <c r="A74" s="114" t="s">
        <v>102</v>
      </c>
      <c r="B74" s="115" t="s">
        <v>108</v>
      </c>
      <c r="C74" s="657" t="s">
        <v>716</v>
      </c>
      <c r="D74" s="658"/>
      <c r="E74" s="396">
        <v>17.5</v>
      </c>
      <c r="F74" s="178">
        <f t="shared" si="5"/>
        <v>0</v>
      </c>
      <c r="G74" s="354">
        <f t="shared" si="6"/>
        <v>0</v>
      </c>
    </row>
    <row r="75" spans="1:7" ht="27" customHeight="1" x14ac:dyDescent="0.3">
      <c r="A75" s="114" t="s">
        <v>103</v>
      </c>
      <c r="B75" s="115" t="s">
        <v>109</v>
      </c>
      <c r="C75" s="657" t="s">
        <v>717</v>
      </c>
      <c r="D75" s="658"/>
      <c r="E75" s="396">
        <v>32.5</v>
      </c>
      <c r="F75" s="178">
        <f t="shared" si="5"/>
        <v>0</v>
      </c>
      <c r="G75" s="354">
        <f t="shared" si="6"/>
        <v>0</v>
      </c>
    </row>
    <row r="76" spans="1:7" ht="27" customHeight="1" x14ac:dyDescent="0.3">
      <c r="A76" s="114" t="s">
        <v>140</v>
      </c>
      <c r="B76" s="115" t="s">
        <v>141</v>
      </c>
      <c r="C76" s="657" t="s">
        <v>713</v>
      </c>
      <c r="D76" s="658"/>
      <c r="E76" s="396">
        <v>31</v>
      </c>
      <c r="F76" s="178">
        <f t="shared" si="5"/>
        <v>0</v>
      </c>
      <c r="G76" s="354">
        <f t="shared" si="6"/>
        <v>0</v>
      </c>
    </row>
    <row r="77" spans="1:7" ht="27" customHeight="1" x14ac:dyDescent="0.3">
      <c r="A77" s="114" t="s">
        <v>104</v>
      </c>
      <c r="B77" s="115" t="s">
        <v>110</v>
      </c>
      <c r="C77" s="657" t="s">
        <v>714</v>
      </c>
      <c r="D77" s="658"/>
      <c r="E77" s="396">
        <v>35.5</v>
      </c>
      <c r="F77" s="178">
        <f t="shared" si="5"/>
        <v>0</v>
      </c>
      <c r="G77" s="354">
        <f t="shared" si="6"/>
        <v>0</v>
      </c>
    </row>
    <row r="78" spans="1:7" ht="27" customHeight="1" thickBot="1" x14ac:dyDescent="0.35">
      <c r="A78" s="114" t="s">
        <v>426</v>
      </c>
      <c r="B78" s="115" t="s">
        <v>425</v>
      </c>
      <c r="C78" s="657" t="s">
        <v>715</v>
      </c>
      <c r="D78" s="658"/>
      <c r="E78" s="396">
        <v>16.5</v>
      </c>
      <c r="F78" s="178">
        <f>IF(B41="on purchase",C41*D41,0)</f>
        <v>0</v>
      </c>
      <c r="G78" s="354">
        <f t="shared" si="6"/>
        <v>0</v>
      </c>
    </row>
    <row r="79" spans="1:7" ht="30" customHeight="1" thickTop="1" thickBot="1" x14ac:dyDescent="0.35">
      <c r="A79" s="343"/>
      <c r="B79" s="344" t="s">
        <v>725</v>
      </c>
      <c r="C79" s="342"/>
      <c r="D79" s="342"/>
      <c r="E79" s="345"/>
      <c r="F79" s="342"/>
      <c r="G79" s="355">
        <f>SUM(G48:G78)</f>
        <v>0</v>
      </c>
    </row>
    <row r="80" spans="1:7" ht="27.6" customHeight="1" thickTop="1" x14ac:dyDescent="0.3">
      <c r="A80" s="114" t="s">
        <v>138</v>
      </c>
      <c r="B80" s="115" t="s">
        <v>139</v>
      </c>
      <c r="C80" s="657" t="s">
        <v>718</v>
      </c>
      <c r="D80" s="658"/>
      <c r="E80" s="396">
        <v>17</v>
      </c>
      <c r="F80" s="178">
        <f>IF(B11="after purchase",C11*D11,0)</f>
        <v>0</v>
      </c>
      <c r="G80" s="354">
        <f>E80*F80</f>
        <v>0</v>
      </c>
    </row>
    <row r="81" spans="1:7" ht="27.6" customHeight="1" x14ac:dyDescent="0.3">
      <c r="A81" s="114" t="s">
        <v>896</v>
      </c>
      <c r="B81" s="115" t="s">
        <v>905</v>
      </c>
      <c r="C81" s="657" t="s">
        <v>904</v>
      </c>
      <c r="D81" s="658"/>
      <c r="E81" s="396">
        <v>25</v>
      </c>
      <c r="F81" s="178">
        <f t="shared" ref="F81:F109" si="7">IF(B12="after purchase",C12*D12,0)</f>
        <v>0</v>
      </c>
      <c r="G81" s="354">
        <f t="shared" ref="G81:G108" si="8">E81*F81</f>
        <v>0</v>
      </c>
    </row>
    <row r="82" spans="1:7" ht="27.6" customHeight="1" x14ac:dyDescent="0.3">
      <c r="A82" s="114" t="s">
        <v>448</v>
      </c>
      <c r="B82" s="115" t="s">
        <v>449</v>
      </c>
      <c r="C82" s="657" t="s">
        <v>728</v>
      </c>
      <c r="D82" s="658"/>
      <c r="E82" s="396">
        <v>27</v>
      </c>
      <c r="F82" s="178">
        <f t="shared" si="7"/>
        <v>0</v>
      </c>
      <c r="G82" s="354">
        <f t="shared" si="8"/>
        <v>0</v>
      </c>
    </row>
    <row r="83" spans="1:7" ht="27.6" customHeight="1" x14ac:dyDescent="0.3">
      <c r="A83" s="114" t="s">
        <v>458</v>
      </c>
      <c r="B83" s="115" t="s">
        <v>450</v>
      </c>
      <c r="C83" s="657" t="s">
        <v>729</v>
      </c>
      <c r="D83" s="658"/>
      <c r="E83" s="396">
        <v>22.5</v>
      </c>
      <c r="F83" s="178">
        <f t="shared" si="7"/>
        <v>0</v>
      </c>
      <c r="G83" s="354">
        <f t="shared" si="8"/>
        <v>0</v>
      </c>
    </row>
    <row r="84" spans="1:7" ht="27.6" customHeight="1" x14ac:dyDescent="0.3">
      <c r="A84" s="114" t="s">
        <v>459</v>
      </c>
      <c r="B84" s="115" t="s">
        <v>451</v>
      </c>
      <c r="C84" s="657" t="s">
        <v>730</v>
      </c>
      <c r="D84" s="658"/>
      <c r="E84" s="396">
        <v>22.5</v>
      </c>
      <c r="F84" s="178">
        <f t="shared" si="7"/>
        <v>0</v>
      </c>
      <c r="G84" s="354">
        <f t="shared" si="8"/>
        <v>0</v>
      </c>
    </row>
    <row r="85" spans="1:7" ht="27.6" customHeight="1" x14ac:dyDescent="0.3">
      <c r="A85" s="114" t="s">
        <v>460</v>
      </c>
      <c r="B85" s="115" t="s">
        <v>452</v>
      </c>
      <c r="C85" s="657" t="s">
        <v>731</v>
      </c>
      <c r="D85" s="658"/>
      <c r="E85" s="396">
        <v>37.5</v>
      </c>
      <c r="F85" s="178">
        <f t="shared" si="7"/>
        <v>0</v>
      </c>
      <c r="G85" s="354">
        <f t="shared" ref="G85" si="9">E85*F85</f>
        <v>0</v>
      </c>
    </row>
    <row r="86" spans="1:7" ht="27.6" customHeight="1" x14ac:dyDescent="0.3">
      <c r="A86" s="114" t="s">
        <v>461</v>
      </c>
      <c r="B86" s="115" t="s">
        <v>453</v>
      </c>
      <c r="C86" s="657" t="s">
        <v>732</v>
      </c>
      <c r="D86" s="658"/>
      <c r="E86" s="396">
        <v>24.5</v>
      </c>
      <c r="F86" s="178">
        <f t="shared" si="7"/>
        <v>0</v>
      </c>
      <c r="G86" s="354">
        <f t="shared" ref="G86:G88" si="10">E86*F86</f>
        <v>0</v>
      </c>
    </row>
    <row r="87" spans="1:7" ht="27.6" customHeight="1" x14ac:dyDescent="0.3">
      <c r="A87" s="114" t="s">
        <v>462</v>
      </c>
      <c r="B87" s="115" t="s">
        <v>454</v>
      </c>
      <c r="C87" s="657" t="s">
        <v>733</v>
      </c>
      <c r="D87" s="658"/>
      <c r="E87" s="396">
        <v>87.5</v>
      </c>
      <c r="F87" s="178">
        <f t="shared" si="7"/>
        <v>0</v>
      </c>
      <c r="G87" s="354">
        <f t="shared" si="10"/>
        <v>0</v>
      </c>
    </row>
    <row r="88" spans="1:7" ht="27.6" customHeight="1" x14ac:dyDescent="0.3">
      <c r="A88" s="114" t="s">
        <v>463</v>
      </c>
      <c r="B88" s="115" t="s">
        <v>455</v>
      </c>
      <c r="C88" s="657" t="s">
        <v>734</v>
      </c>
      <c r="D88" s="658"/>
      <c r="E88" s="396">
        <v>70</v>
      </c>
      <c r="F88" s="178">
        <f t="shared" si="7"/>
        <v>0</v>
      </c>
      <c r="G88" s="354">
        <f t="shared" si="10"/>
        <v>0</v>
      </c>
    </row>
    <row r="89" spans="1:7" ht="27.6" customHeight="1" x14ac:dyDescent="0.3">
      <c r="A89" s="114" t="s">
        <v>158</v>
      </c>
      <c r="B89" s="115" t="s">
        <v>159</v>
      </c>
      <c r="C89" s="657" t="s">
        <v>735</v>
      </c>
      <c r="D89" s="658"/>
      <c r="E89" s="396">
        <v>409</v>
      </c>
      <c r="F89" s="178">
        <f t="shared" si="7"/>
        <v>0</v>
      </c>
      <c r="G89" s="354">
        <f t="shared" ref="G89" si="11">E89*F89</f>
        <v>0</v>
      </c>
    </row>
    <row r="90" spans="1:7" ht="27.6" customHeight="1" x14ac:dyDescent="0.3">
      <c r="A90" s="114" t="s">
        <v>66</v>
      </c>
      <c r="B90" s="115" t="s">
        <v>67</v>
      </c>
      <c r="C90" s="657" t="s">
        <v>736</v>
      </c>
      <c r="D90" s="658"/>
      <c r="E90" s="396">
        <v>27</v>
      </c>
      <c r="F90" s="178">
        <f t="shared" si="7"/>
        <v>0</v>
      </c>
      <c r="G90" s="354">
        <f t="shared" ref="G90" si="12">E90*F90</f>
        <v>0</v>
      </c>
    </row>
    <row r="91" spans="1:7" ht="27.6" customHeight="1" x14ac:dyDescent="0.3">
      <c r="A91" s="114" t="s">
        <v>333</v>
      </c>
      <c r="B91" s="115" t="s">
        <v>332</v>
      </c>
      <c r="C91" s="657" t="s">
        <v>737</v>
      </c>
      <c r="D91" s="658"/>
      <c r="E91" s="396">
        <v>8.25</v>
      </c>
      <c r="F91" s="178">
        <f t="shared" si="7"/>
        <v>0</v>
      </c>
      <c r="G91" s="354">
        <f t="shared" si="8"/>
        <v>0</v>
      </c>
    </row>
    <row r="92" spans="1:7" ht="27.6" customHeight="1" x14ac:dyDescent="0.3">
      <c r="A92" s="114" t="s">
        <v>464</v>
      </c>
      <c r="B92" s="115" t="s">
        <v>456</v>
      </c>
      <c r="C92" s="657" t="s">
        <v>738</v>
      </c>
      <c r="D92" s="658"/>
      <c r="E92" s="396">
        <v>9</v>
      </c>
      <c r="F92" s="178">
        <f t="shared" si="7"/>
        <v>0</v>
      </c>
      <c r="G92" s="354">
        <f t="shared" ref="G92" si="13">E92*F92</f>
        <v>0</v>
      </c>
    </row>
    <row r="93" spans="1:7" ht="27.6" customHeight="1" x14ac:dyDescent="0.3">
      <c r="A93" s="114" t="s">
        <v>150</v>
      </c>
      <c r="B93" s="115" t="s">
        <v>151</v>
      </c>
      <c r="C93" s="657" t="s">
        <v>739</v>
      </c>
      <c r="D93" s="658"/>
      <c r="E93" s="396">
        <v>10</v>
      </c>
      <c r="F93" s="178">
        <f t="shared" si="7"/>
        <v>0</v>
      </c>
      <c r="G93" s="354">
        <f t="shared" ref="G93:G100" si="14">E93*F93</f>
        <v>0</v>
      </c>
    </row>
    <row r="94" spans="1:7" ht="27.6" customHeight="1" x14ac:dyDescent="0.3">
      <c r="A94" s="114" t="s">
        <v>122</v>
      </c>
      <c r="B94" s="115" t="s">
        <v>123</v>
      </c>
      <c r="C94" s="657" t="s">
        <v>740</v>
      </c>
      <c r="D94" s="658"/>
      <c r="E94" s="396">
        <v>12</v>
      </c>
      <c r="F94" s="178">
        <f t="shared" si="7"/>
        <v>0</v>
      </c>
      <c r="G94" s="354">
        <f t="shared" si="14"/>
        <v>0</v>
      </c>
    </row>
    <row r="95" spans="1:7" ht="27.6" customHeight="1" x14ac:dyDescent="0.3">
      <c r="A95" s="114" t="s">
        <v>152</v>
      </c>
      <c r="B95" s="115" t="s">
        <v>153</v>
      </c>
      <c r="C95" s="657" t="s">
        <v>741</v>
      </c>
      <c r="D95" s="658"/>
      <c r="E95" s="396">
        <v>12</v>
      </c>
      <c r="F95" s="178">
        <f t="shared" si="7"/>
        <v>0</v>
      </c>
      <c r="G95" s="354">
        <f t="shared" si="14"/>
        <v>0</v>
      </c>
    </row>
    <row r="96" spans="1:7" ht="27.6" customHeight="1" x14ac:dyDescent="0.3">
      <c r="A96" s="114" t="s">
        <v>124</v>
      </c>
      <c r="B96" s="115" t="s">
        <v>125</v>
      </c>
      <c r="C96" s="657" t="s">
        <v>742</v>
      </c>
      <c r="D96" s="658"/>
      <c r="E96" s="396">
        <v>15</v>
      </c>
      <c r="F96" s="178">
        <f t="shared" si="7"/>
        <v>0</v>
      </c>
      <c r="G96" s="354">
        <f t="shared" si="14"/>
        <v>0</v>
      </c>
    </row>
    <row r="97" spans="1:7" ht="27.6" customHeight="1" x14ac:dyDescent="0.3">
      <c r="A97" s="114" t="s">
        <v>336</v>
      </c>
      <c r="B97" s="115" t="s">
        <v>337</v>
      </c>
      <c r="C97" s="657" t="s">
        <v>743</v>
      </c>
      <c r="D97" s="658"/>
      <c r="E97" s="396">
        <v>10</v>
      </c>
      <c r="F97" s="178">
        <f t="shared" si="7"/>
        <v>0</v>
      </c>
      <c r="G97" s="354">
        <f t="shared" si="14"/>
        <v>0</v>
      </c>
    </row>
    <row r="98" spans="1:7" ht="27.6" customHeight="1" x14ac:dyDescent="0.3">
      <c r="A98" s="114" t="s">
        <v>338</v>
      </c>
      <c r="B98" s="115" t="s">
        <v>339</v>
      </c>
      <c r="C98" s="657" t="s">
        <v>744</v>
      </c>
      <c r="D98" s="658"/>
      <c r="E98" s="396">
        <v>11</v>
      </c>
      <c r="F98" s="178">
        <f t="shared" si="7"/>
        <v>0</v>
      </c>
      <c r="G98" s="354">
        <f t="shared" si="14"/>
        <v>0</v>
      </c>
    </row>
    <row r="99" spans="1:7" ht="27.6" customHeight="1" x14ac:dyDescent="0.3">
      <c r="A99" s="114" t="s">
        <v>168</v>
      </c>
      <c r="B99" s="115" t="s">
        <v>169</v>
      </c>
      <c r="C99" s="657" t="s">
        <v>745</v>
      </c>
      <c r="D99" s="658"/>
      <c r="E99" s="396">
        <v>15</v>
      </c>
      <c r="F99" s="178">
        <f t="shared" si="7"/>
        <v>0</v>
      </c>
      <c r="G99" s="354">
        <f t="shared" si="14"/>
        <v>0</v>
      </c>
    </row>
    <row r="100" spans="1:7" ht="27.6" customHeight="1" x14ac:dyDescent="0.3">
      <c r="A100" s="114" t="s">
        <v>148</v>
      </c>
      <c r="B100" s="115" t="s">
        <v>149</v>
      </c>
      <c r="C100" s="657" t="s">
        <v>746</v>
      </c>
      <c r="D100" s="658"/>
      <c r="E100" s="396">
        <v>12</v>
      </c>
      <c r="F100" s="178">
        <f t="shared" si="7"/>
        <v>0</v>
      </c>
      <c r="G100" s="354">
        <f t="shared" si="14"/>
        <v>0</v>
      </c>
    </row>
    <row r="101" spans="1:7" ht="27.6" customHeight="1" x14ac:dyDescent="0.3">
      <c r="A101" s="114" t="s">
        <v>1</v>
      </c>
      <c r="B101" s="115" t="s">
        <v>2</v>
      </c>
      <c r="C101" s="657" t="s">
        <v>747</v>
      </c>
      <c r="D101" s="658"/>
      <c r="E101" s="396">
        <v>7.9</v>
      </c>
      <c r="F101" s="178">
        <f t="shared" si="7"/>
        <v>0</v>
      </c>
      <c r="G101" s="354">
        <f t="shared" si="8"/>
        <v>0</v>
      </c>
    </row>
    <row r="102" spans="1:7" ht="27.6" customHeight="1" x14ac:dyDescent="0.3">
      <c r="A102" s="114" t="s">
        <v>3</v>
      </c>
      <c r="B102" s="115" t="s">
        <v>4</v>
      </c>
      <c r="C102" s="657" t="s">
        <v>748</v>
      </c>
      <c r="D102" s="658"/>
      <c r="E102" s="396">
        <v>39</v>
      </c>
      <c r="F102" s="178">
        <f t="shared" si="7"/>
        <v>0</v>
      </c>
      <c r="G102" s="354">
        <f t="shared" si="8"/>
        <v>0</v>
      </c>
    </row>
    <row r="103" spans="1:7" ht="28.2" customHeight="1" x14ac:dyDescent="0.3">
      <c r="A103" s="114" t="s">
        <v>160</v>
      </c>
      <c r="B103" s="115" t="s">
        <v>940</v>
      </c>
      <c r="C103" s="657" t="s">
        <v>939</v>
      </c>
      <c r="D103" s="658"/>
      <c r="E103" s="396">
        <v>5</v>
      </c>
      <c r="F103" s="178">
        <f t="shared" si="7"/>
        <v>0</v>
      </c>
      <c r="G103" s="354">
        <f t="shared" si="8"/>
        <v>0</v>
      </c>
    </row>
    <row r="104" spans="1:7" ht="27.6" customHeight="1" x14ac:dyDescent="0.3">
      <c r="A104" s="114" t="s">
        <v>161</v>
      </c>
      <c r="B104" s="115" t="s">
        <v>211</v>
      </c>
      <c r="C104" s="657" t="s">
        <v>749</v>
      </c>
      <c r="D104" s="658"/>
      <c r="E104" s="396">
        <v>13</v>
      </c>
      <c r="F104" s="178">
        <f t="shared" si="7"/>
        <v>0</v>
      </c>
      <c r="G104" s="354">
        <f t="shared" si="8"/>
        <v>0</v>
      </c>
    </row>
    <row r="105" spans="1:7" ht="27.6" customHeight="1" x14ac:dyDescent="0.3">
      <c r="A105" s="114" t="s">
        <v>162</v>
      </c>
      <c r="B105" s="115" t="s">
        <v>212</v>
      </c>
      <c r="C105" s="657" t="s">
        <v>750</v>
      </c>
      <c r="D105" s="658"/>
      <c r="E105" s="396">
        <v>17</v>
      </c>
      <c r="F105" s="178">
        <f t="shared" si="7"/>
        <v>0</v>
      </c>
      <c r="G105" s="354">
        <f t="shared" si="8"/>
        <v>0</v>
      </c>
    </row>
    <row r="106" spans="1:7" ht="27.6" customHeight="1" x14ac:dyDescent="0.3">
      <c r="A106" s="114" t="s">
        <v>111</v>
      </c>
      <c r="B106" s="115" t="s">
        <v>105</v>
      </c>
      <c r="C106" s="657" t="s">
        <v>751</v>
      </c>
      <c r="D106" s="658"/>
      <c r="E106" s="396">
        <v>25</v>
      </c>
      <c r="F106" s="178">
        <f t="shared" si="7"/>
        <v>0</v>
      </c>
      <c r="G106" s="354">
        <f t="shared" ref="G106:G107" si="15">E106*F106</f>
        <v>0</v>
      </c>
    </row>
    <row r="107" spans="1:7" ht="27.6" customHeight="1" x14ac:dyDescent="0.3">
      <c r="A107" s="114" t="s">
        <v>112</v>
      </c>
      <c r="B107" s="115" t="s">
        <v>106</v>
      </c>
      <c r="C107" s="657" t="s">
        <v>752</v>
      </c>
      <c r="D107" s="658"/>
      <c r="E107" s="396">
        <v>46.5</v>
      </c>
      <c r="F107" s="178">
        <f t="shared" si="7"/>
        <v>0</v>
      </c>
      <c r="G107" s="354">
        <f t="shared" si="15"/>
        <v>0</v>
      </c>
    </row>
    <row r="108" spans="1:7" ht="27.6" customHeight="1" x14ac:dyDescent="0.3">
      <c r="A108" s="114" t="s">
        <v>142</v>
      </c>
      <c r="B108" s="115" t="s">
        <v>143</v>
      </c>
      <c r="C108" s="657" t="s">
        <v>753</v>
      </c>
      <c r="D108" s="658"/>
      <c r="E108" s="396">
        <v>44</v>
      </c>
      <c r="F108" s="178">
        <f t="shared" si="7"/>
        <v>0</v>
      </c>
      <c r="G108" s="354">
        <f t="shared" si="8"/>
        <v>0</v>
      </c>
    </row>
    <row r="109" spans="1:7" ht="28.2" customHeight="1" x14ac:dyDescent="0.3">
      <c r="A109" s="114" t="s">
        <v>113</v>
      </c>
      <c r="B109" s="115" t="s">
        <v>107</v>
      </c>
      <c r="C109" s="657" t="s">
        <v>754</v>
      </c>
      <c r="D109" s="658"/>
      <c r="E109" s="396">
        <v>50.5</v>
      </c>
      <c r="F109" s="178">
        <f t="shared" si="7"/>
        <v>0</v>
      </c>
      <c r="G109" s="354">
        <f t="shared" ref="G109" si="16">E109*F109</f>
        <v>0</v>
      </c>
    </row>
    <row r="110" spans="1:7" ht="28.2" customHeight="1" thickBot="1" x14ac:dyDescent="0.35">
      <c r="A110" s="114" t="s">
        <v>465</v>
      </c>
      <c r="B110" s="115" t="s">
        <v>457</v>
      </c>
      <c r="C110" s="657" t="s">
        <v>755</v>
      </c>
      <c r="D110" s="658"/>
      <c r="E110" s="396">
        <v>23.5</v>
      </c>
      <c r="F110" s="178">
        <f>IF(B41="after purchase",C41*D41,0)</f>
        <v>0</v>
      </c>
      <c r="G110" s="354">
        <f t="shared" ref="G110" si="17">E110*F110</f>
        <v>0</v>
      </c>
    </row>
    <row r="111" spans="1:7" ht="30" customHeight="1" thickTop="1" thickBot="1" x14ac:dyDescent="0.35">
      <c r="A111" s="343"/>
      <c r="B111" s="344" t="s">
        <v>726</v>
      </c>
      <c r="C111" s="342"/>
      <c r="D111" s="342"/>
      <c r="E111" s="342"/>
      <c r="F111" s="342"/>
      <c r="G111" s="355">
        <f>SUM(G80:G110)</f>
        <v>0</v>
      </c>
    </row>
    <row r="112" spans="1:7" ht="21" customHeight="1" thickTop="1" x14ac:dyDescent="0.3">
      <c r="A112" s="405"/>
      <c r="B112" s="406"/>
      <c r="C112" s="406"/>
      <c r="D112" s="407"/>
      <c r="E112" s="408"/>
      <c r="F112" s="392"/>
      <c r="G112" s="409"/>
    </row>
    <row r="113" spans="1:7" ht="14.4" thickBot="1" x14ac:dyDescent="0.35">
      <c r="A113" s="271"/>
      <c r="B113" s="271"/>
      <c r="C113" s="271"/>
      <c r="D113" s="271"/>
      <c r="E113" s="271"/>
      <c r="F113" s="271"/>
      <c r="G113" s="271"/>
    </row>
    <row r="114" spans="1:7" ht="19.2" thickTop="1" thickBot="1" x14ac:dyDescent="0.35">
      <c r="A114" s="209"/>
      <c r="B114" s="210" t="s">
        <v>727</v>
      </c>
      <c r="C114" s="60"/>
      <c r="D114" s="211"/>
      <c r="E114" s="211"/>
      <c r="F114" s="404"/>
      <c r="G114" s="574">
        <f>G79+G111</f>
        <v>0</v>
      </c>
    </row>
    <row r="185" spans="5:9" x14ac:dyDescent="0.3">
      <c r="E185" s="216">
        <v>0</v>
      </c>
      <c r="F185" s="216">
        <v>1</v>
      </c>
      <c r="G185" s="216">
        <v>2</v>
      </c>
      <c r="H185" s="216">
        <v>3</v>
      </c>
      <c r="I185" s="216">
        <v>4</v>
      </c>
    </row>
    <row r="186" spans="5:9" x14ac:dyDescent="0.3">
      <c r="E186" s="216"/>
      <c r="F186" s="66" t="s">
        <v>756</v>
      </c>
      <c r="G186" s="66" t="s">
        <v>757</v>
      </c>
      <c r="H186" s="216"/>
      <c r="I186" s="216"/>
    </row>
  </sheetData>
  <sheetProtection password="EE20" sheet="1" objects="1" scenarios="1"/>
  <mergeCells count="66">
    <mergeCell ref="C102:D102"/>
    <mergeCell ref="C107:D107"/>
    <mergeCell ref="C110:D110"/>
    <mergeCell ref="C103:D103"/>
    <mergeCell ref="C104:D104"/>
    <mergeCell ref="C105:D105"/>
    <mergeCell ref="C108:D108"/>
    <mergeCell ref="C109:D109"/>
    <mergeCell ref="C106:D106"/>
    <mergeCell ref="C101:D101"/>
    <mergeCell ref="B4:F4"/>
    <mergeCell ref="C52:D52"/>
    <mergeCell ref="C53:D53"/>
    <mergeCell ref="C60:D60"/>
    <mergeCell ref="C69:D69"/>
    <mergeCell ref="C70:D70"/>
    <mergeCell ref="C62:D62"/>
    <mergeCell ref="C92:D92"/>
    <mergeCell ref="C77:D77"/>
    <mergeCell ref="C80:D80"/>
    <mergeCell ref="C82:D82"/>
    <mergeCell ref="C91:D91"/>
    <mergeCell ref="C83:D83"/>
    <mergeCell ref="C84:D84"/>
    <mergeCell ref="C85:D85"/>
    <mergeCell ref="C87:D87"/>
    <mergeCell ref="C88:D88"/>
    <mergeCell ref="C89:D89"/>
    <mergeCell ref="C90:D90"/>
    <mergeCell ref="B6:F6"/>
    <mergeCell ref="C51:D51"/>
    <mergeCell ref="C48:D48"/>
    <mergeCell ref="C59:D59"/>
    <mergeCell ref="C47:D47"/>
    <mergeCell ref="C49:D49"/>
    <mergeCell ref="C50:D50"/>
    <mergeCell ref="C54:D54"/>
    <mergeCell ref="C55:D55"/>
    <mergeCell ref="C56:D56"/>
    <mergeCell ref="C57:D57"/>
    <mergeCell ref="C58:D58"/>
    <mergeCell ref="C61:D61"/>
    <mergeCell ref="C63:D63"/>
    <mergeCell ref="C64:D64"/>
    <mergeCell ref="C65:D65"/>
    <mergeCell ref="C81:D81"/>
    <mergeCell ref="C73:D73"/>
    <mergeCell ref="C74:D74"/>
    <mergeCell ref="C75:D75"/>
    <mergeCell ref="C78:D78"/>
    <mergeCell ref="A8:G8"/>
    <mergeCell ref="C98:D98"/>
    <mergeCell ref="C99:D99"/>
    <mergeCell ref="C100:D100"/>
    <mergeCell ref="C93:D93"/>
    <mergeCell ref="C94:D94"/>
    <mergeCell ref="C95:D95"/>
    <mergeCell ref="C96:D96"/>
    <mergeCell ref="C97:D97"/>
    <mergeCell ref="C66:D66"/>
    <mergeCell ref="C67:D67"/>
    <mergeCell ref="C68:D68"/>
    <mergeCell ref="C76:D76"/>
    <mergeCell ref="C86:D86"/>
    <mergeCell ref="C72:D72"/>
    <mergeCell ref="C71:D71"/>
  </mergeCells>
  <dataValidations count="3">
    <dataValidation type="list" allowBlank="1" showInputMessage="1" showErrorMessage="1" sqref="B3:C3">
      <formula1>$H$3:$I$3</formula1>
    </dataValidation>
    <dataValidation type="list" allowBlank="1" showInputMessage="1" showErrorMessage="1" sqref="D11:D41">
      <formula1>$E$185:$I$185</formula1>
    </dataValidation>
    <dataValidation type="list" allowBlank="1" showInputMessage="1" showErrorMessage="1" sqref="B11:B41">
      <formula1>$F$186:$G$186</formula1>
    </dataValidation>
  </dataValidations>
  <pageMargins left="0.70866141732283472" right="0.70866141732283472" top="0.98425196850393704" bottom="0.78740157480314965" header="0.31496062992125984" footer="0.31496062992125984"/>
  <pageSetup paperSize="9" scale="72" orientation="portrait" r:id="rId1"/>
  <headerFooter>
    <oddHeader>&amp;L&amp;20 &amp;K00-0334. Warranty Extension&amp;R&amp;G</oddHeader>
    <oddFooter>&amp;C&amp;P</oddFooter>
  </headerFooter>
  <rowBreaks count="1" manualBreakCount="1">
    <brk id="79" max="6" man="1"/>
  </rowBreaks>
  <drawing r:id="rId2"/>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0"/>
  <sheetViews>
    <sheetView workbookViewId="0">
      <selection activeCell="L4" sqref="L4"/>
    </sheetView>
  </sheetViews>
  <sheetFormatPr baseColWidth="10" defaultColWidth="11.5546875" defaultRowHeight="13.8" x14ac:dyDescent="0.3"/>
  <cols>
    <col min="1" max="1" width="16.109375" style="66" customWidth="1"/>
    <col min="2" max="2" width="23.77734375" style="66" customWidth="1"/>
    <col min="3" max="3" width="14.33203125" style="66" customWidth="1"/>
    <col min="4" max="4" width="13.33203125" style="66" customWidth="1"/>
    <col min="5" max="5" width="22" style="66" customWidth="1"/>
    <col min="6" max="6" width="11.5546875" style="66" customWidth="1"/>
    <col min="7" max="8" width="11.5546875" style="66"/>
    <col min="9" max="9" width="2" style="66" bestFit="1" customWidth="1"/>
    <col min="10" max="16384" width="11.5546875" style="66"/>
  </cols>
  <sheetData>
    <row r="1" spans="1:9" ht="45" customHeight="1" x14ac:dyDescent="0.3">
      <c r="A1" s="283"/>
      <c r="B1" s="283"/>
      <c r="C1" s="283"/>
      <c r="D1" s="283"/>
      <c r="E1" s="283"/>
      <c r="F1" s="283"/>
    </row>
    <row r="2" spans="1:9" ht="36" customHeight="1" x14ac:dyDescent="0.3">
      <c r="A2" s="651" t="s">
        <v>759</v>
      </c>
      <c r="B2" s="651"/>
      <c r="C2" s="651"/>
      <c r="D2" s="651"/>
      <c r="E2" s="651"/>
      <c r="F2" s="651"/>
    </row>
    <row r="3" spans="1:9" ht="13.95" customHeight="1" thickBot="1" x14ac:dyDescent="0.35">
      <c r="A3" s="502"/>
      <c r="B3" s="503"/>
      <c r="C3" s="503"/>
      <c r="D3" s="503"/>
      <c r="E3" s="503"/>
      <c r="F3" s="216"/>
    </row>
    <row r="4" spans="1:9" ht="85.2" customHeight="1" thickBot="1" x14ac:dyDescent="0.35">
      <c r="A4" s="504" t="s">
        <v>302</v>
      </c>
      <c r="B4" s="664" t="s">
        <v>760</v>
      </c>
      <c r="C4" s="665"/>
      <c r="D4" s="665"/>
      <c r="E4" s="665"/>
      <c r="F4" s="666"/>
    </row>
    <row r="5" spans="1:9" ht="13.95" customHeight="1" thickBot="1" x14ac:dyDescent="0.35">
      <c r="A5" s="502"/>
      <c r="B5" s="503"/>
      <c r="C5" s="503"/>
      <c r="D5" s="503"/>
      <c r="E5" s="503"/>
      <c r="F5" s="216"/>
    </row>
    <row r="6" spans="1:9" ht="85.95" customHeight="1" thickBot="1" x14ac:dyDescent="0.35">
      <c r="A6" s="504" t="s">
        <v>303</v>
      </c>
      <c r="B6" s="664" t="s">
        <v>761</v>
      </c>
      <c r="C6" s="665"/>
      <c r="D6" s="665"/>
      <c r="E6" s="665"/>
      <c r="F6" s="666"/>
    </row>
    <row r="7" spans="1:9" ht="13.95" customHeight="1" thickBot="1" x14ac:dyDescent="0.35">
      <c r="A7" s="502"/>
      <c r="B7" s="503"/>
      <c r="C7" s="503"/>
      <c r="D7" s="503"/>
      <c r="E7" s="503"/>
      <c r="F7" s="216"/>
    </row>
    <row r="8" spans="1:9" ht="97.2" customHeight="1" thickBot="1" x14ac:dyDescent="0.35">
      <c r="A8" s="504" t="s">
        <v>304</v>
      </c>
      <c r="B8" s="664" t="s">
        <v>762</v>
      </c>
      <c r="C8" s="665"/>
      <c r="D8" s="665"/>
      <c r="E8" s="665"/>
      <c r="F8" s="666"/>
      <c r="I8" s="584"/>
    </row>
    <row r="9" spans="1:9" x14ac:dyDescent="0.3">
      <c r="A9" s="505"/>
      <c r="B9" s="506"/>
      <c r="C9" s="506"/>
      <c r="D9" s="506"/>
      <c r="E9" s="506"/>
      <c r="F9" s="244"/>
      <c r="I9" s="584"/>
    </row>
    <row r="10" spans="1:9" x14ac:dyDescent="0.3">
      <c r="A10" s="508" t="s">
        <v>763</v>
      </c>
      <c r="B10" s="506"/>
      <c r="C10" s="506"/>
      <c r="D10" s="506"/>
      <c r="E10" s="506"/>
      <c r="F10" s="244"/>
      <c r="I10" s="584"/>
    </row>
    <row r="11" spans="1:9" x14ac:dyDescent="0.3">
      <c r="A11" s="505"/>
      <c r="B11" s="506"/>
      <c r="C11" s="506"/>
      <c r="D11" s="506"/>
      <c r="E11" s="506"/>
      <c r="F11" s="244"/>
      <c r="I11" s="584"/>
    </row>
    <row r="12" spans="1:9" ht="30" customHeight="1" x14ac:dyDescent="0.3">
      <c r="A12" s="631" t="s">
        <v>764</v>
      </c>
      <c r="B12" s="509"/>
      <c r="C12" s="509"/>
      <c r="D12" s="509"/>
      <c r="E12" s="509"/>
      <c r="F12" s="510"/>
      <c r="I12" s="584"/>
    </row>
    <row r="13" spans="1:9" x14ac:dyDescent="0.3">
      <c r="A13" s="122"/>
      <c r="B13" s="230"/>
      <c r="C13" s="230"/>
      <c r="D13" s="230"/>
      <c r="E13" s="231"/>
      <c r="F13" s="232"/>
      <c r="I13" s="584"/>
    </row>
    <row r="14" spans="1:9" ht="27.6" x14ac:dyDescent="0.3">
      <c r="A14" s="239" t="s">
        <v>676</v>
      </c>
      <c r="B14" s="159" t="s">
        <v>765</v>
      </c>
      <c r="C14" s="159" t="s">
        <v>678</v>
      </c>
      <c r="D14" s="159" t="s">
        <v>766</v>
      </c>
      <c r="E14" s="239" t="s">
        <v>680</v>
      </c>
      <c r="F14" s="239" t="s">
        <v>629</v>
      </c>
      <c r="I14" s="584"/>
    </row>
    <row r="15" spans="1:9" x14ac:dyDescent="0.3">
      <c r="A15" s="115" t="s">
        <v>164</v>
      </c>
      <c r="B15" s="323" t="s">
        <v>302</v>
      </c>
      <c r="C15" s="234"/>
      <c r="D15" s="324">
        <v>0</v>
      </c>
      <c r="E15" s="235">
        <f>IF(B15="Silber",C33,IF(B15="Gold",C44,IF(B15="Gold onsite",C55)))</f>
        <v>69</v>
      </c>
      <c r="F15" s="46">
        <f>E15*D15*C15</f>
        <v>0</v>
      </c>
      <c r="H15" s="129"/>
      <c r="I15" s="584"/>
    </row>
    <row r="16" spans="1:9" x14ac:dyDescent="0.3">
      <c r="A16" s="115" t="s">
        <v>893</v>
      </c>
      <c r="B16" s="323" t="s">
        <v>302</v>
      </c>
      <c r="C16" s="234"/>
      <c r="D16" s="324">
        <v>0</v>
      </c>
      <c r="E16" s="235">
        <f t="shared" ref="E16:E25" si="0">IF(B16="Silber",C34,IF(B16="Gold",C45,IF(B16="Gold onsite",C56)))</f>
        <v>87</v>
      </c>
      <c r="F16" s="46">
        <f t="shared" ref="F16:F24" si="1">E16*D16*C16</f>
        <v>0</v>
      </c>
      <c r="H16" s="129"/>
      <c r="I16" s="584"/>
    </row>
    <row r="17" spans="1:9" x14ac:dyDescent="0.3">
      <c r="A17" s="115" t="s">
        <v>439</v>
      </c>
      <c r="B17" s="323" t="s">
        <v>302</v>
      </c>
      <c r="C17" s="234"/>
      <c r="D17" s="324">
        <v>0</v>
      </c>
      <c r="E17" s="235">
        <f t="shared" si="0"/>
        <v>107</v>
      </c>
      <c r="F17" s="46">
        <f t="shared" si="1"/>
        <v>0</v>
      </c>
      <c r="H17" s="129"/>
      <c r="I17" s="584"/>
    </row>
    <row r="18" spans="1:9" x14ac:dyDescent="0.3">
      <c r="A18" s="115" t="s">
        <v>440</v>
      </c>
      <c r="B18" s="323" t="s">
        <v>302</v>
      </c>
      <c r="C18" s="234"/>
      <c r="D18" s="324">
        <v>0</v>
      </c>
      <c r="E18" s="235">
        <f t="shared" si="0"/>
        <v>90</v>
      </c>
      <c r="F18" s="46">
        <f t="shared" si="1"/>
        <v>0</v>
      </c>
      <c r="H18" s="129"/>
      <c r="I18" s="584"/>
    </row>
    <row r="19" spans="1:9" x14ac:dyDescent="0.3">
      <c r="A19" s="115" t="s">
        <v>441</v>
      </c>
      <c r="B19" s="323" t="s">
        <v>302</v>
      </c>
      <c r="C19" s="234"/>
      <c r="D19" s="324">
        <v>0</v>
      </c>
      <c r="E19" s="235">
        <f t="shared" si="0"/>
        <v>90</v>
      </c>
      <c r="F19" s="46">
        <f t="shared" si="1"/>
        <v>0</v>
      </c>
      <c r="H19" s="129"/>
      <c r="I19" s="584"/>
    </row>
    <row r="20" spans="1:9" x14ac:dyDescent="0.3">
      <c r="A20" s="115" t="s">
        <v>442</v>
      </c>
      <c r="B20" s="323" t="s">
        <v>302</v>
      </c>
      <c r="C20" s="234"/>
      <c r="D20" s="324">
        <v>0</v>
      </c>
      <c r="E20" s="235">
        <f t="shared" si="0"/>
        <v>150</v>
      </c>
      <c r="F20" s="46">
        <f t="shared" si="1"/>
        <v>0</v>
      </c>
      <c r="H20" s="129"/>
      <c r="I20" s="584"/>
    </row>
    <row r="21" spans="1:9" x14ac:dyDescent="0.3">
      <c r="A21" s="115" t="s">
        <v>443</v>
      </c>
      <c r="B21" s="323" t="s">
        <v>302</v>
      </c>
      <c r="C21" s="234"/>
      <c r="D21" s="324">
        <v>0</v>
      </c>
      <c r="E21" s="235">
        <f t="shared" si="0"/>
        <v>98</v>
      </c>
      <c r="F21" s="46">
        <f t="shared" si="1"/>
        <v>0</v>
      </c>
      <c r="H21" s="129"/>
      <c r="I21" s="584"/>
    </row>
    <row r="22" spans="1:9" x14ac:dyDescent="0.3">
      <c r="A22" s="115" t="s">
        <v>444</v>
      </c>
      <c r="B22" s="323" t="s">
        <v>302</v>
      </c>
      <c r="C22" s="234"/>
      <c r="D22" s="324">
        <v>0</v>
      </c>
      <c r="E22" s="235">
        <f t="shared" si="0"/>
        <v>352</v>
      </c>
      <c r="F22" s="46">
        <f t="shared" si="1"/>
        <v>0</v>
      </c>
      <c r="H22" s="129"/>
      <c r="I22" s="584"/>
    </row>
    <row r="23" spans="1:9" x14ac:dyDescent="0.3">
      <c r="A23" s="115" t="s">
        <v>466</v>
      </c>
      <c r="B23" s="323" t="s">
        <v>302</v>
      </c>
      <c r="C23" s="234"/>
      <c r="D23" s="324">
        <v>0</v>
      </c>
      <c r="E23" s="235">
        <f t="shared" si="0"/>
        <v>280</v>
      </c>
      <c r="F23" s="46">
        <f t="shared" si="1"/>
        <v>0</v>
      </c>
      <c r="H23" s="129"/>
      <c r="I23" s="584"/>
    </row>
    <row r="24" spans="1:9" x14ac:dyDescent="0.3">
      <c r="A24" s="115" t="s">
        <v>174</v>
      </c>
      <c r="B24" s="323" t="s">
        <v>302</v>
      </c>
      <c r="C24" s="234"/>
      <c r="D24" s="324">
        <v>0</v>
      </c>
      <c r="E24" s="235">
        <f t="shared" si="0"/>
        <v>960</v>
      </c>
      <c r="F24" s="46">
        <f t="shared" si="1"/>
        <v>0</v>
      </c>
      <c r="H24" s="129"/>
      <c r="I24" s="584"/>
    </row>
    <row r="25" spans="1:9" ht="14.4" thickBot="1" x14ac:dyDescent="0.35">
      <c r="A25" s="115" t="s">
        <v>63</v>
      </c>
      <c r="B25" s="323" t="s">
        <v>302</v>
      </c>
      <c r="C25" s="234"/>
      <c r="D25" s="324">
        <v>0</v>
      </c>
      <c r="E25" s="235">
        <f t="shared" si="0"/>
        <v>107</v>
      </c>
      <c r="F25" s="46">
        <f>E25*D25*C25</f>
        <v>0</v>
      </c>
      <c r="H25" s="129"/>
      <c r="I25" s="584"/>
    </row>
    <row r="26" spans="1:9" ht="24" customHeight="1" thickTop="1" thickBot="1" x14ac:dyDescent="0.35">
      <c r="A26" s="236" t="s">
        <v>305</v>
      </c>
      <c r="B26" s="40"/>
      <c r="C26" s="40"/>
      <c r="D26" s="40"/>
      <c r="E26" s="217"/>
      <c r="F26" s="237">
        <f>SUM(F15:F25)</f>
        <v>0</v>
      </c>
    </row>
    <row r="27" spans="1:9" ht="30" customHeight="1" thickTop="1" x14ac:dyDescent="0.3">
      <c r="A27" s="238"/>
      <c r="B27" s="233"/>
      <c r="C27" s="233"/>
      <c r="D27" s="233"/>
      <c r="E27" s="233"/>
      <c r="F27" s="5"/>
    </row>
    <row r="28" spans="1:9" ht="30" customHeight="1" x14ac:dyDescent="0.3">
      <c r="A28" s="238"/>
      <c r="B28" s="233"/>
      <c r="C28" s="233"/>
      <c r="D28" s="233"/>
      <c r="E28" s="233"/>
      <c r="F28" s="5"/>
    </row>
    <row r="29" spans="1:9" ht="30" customHeight="1" x14ac:dyDescent="0.3">
      <c r="A29" s="238"/>
      <c r="B29" s="233"/>
      <c r="C29" s="233"/>
      <c r="D29" s="233"/>
      <c r="E29" s="233"/>
    </row>
    <row r="30" spans="1:9" ht="36" customHeight="1" thickBot="1" x14ac:dyDescent="0.35">
      <c r="A30" s="103" t="s">
        <v>534</v>
      </c>
      <c r="B30" s="105"/>
      <c r="C30" s="105"/>
      <c r="D30" s="105"/>
      <c r="E30" s="105"/>
    </row>
    <row r="31" spans="1:9" ht="30" customHeight="1" x14ac:dyDescent="0.3">
      <c r="A31" s="241" t="s">
        <v>670</v>
      </c>
      <c r="B31" s="242" t="s">
        <v>688</v>
      </c>
      <c r="C31" s="511" t="s">
        <v>520</v>
      </c>
      <c r="D31" s="511" t="s">
        <v>521</v>
      </c>
      <c r="E31" s="512" t="s">
        <v>629</v>
      </c>
    </row>
    <row r="32" spans="1:9" ht="27" customHeight="1" x14ac:dyDescent="0.3">
      <c r="A32" s="599" t="s">
        <v>767</v>
      </c>
      <c r="B32" s="595"/>
      <c r="C32" s="243"/>
      <c r="D32" s="244"/>
      <c r="E32" s="245"/>
    </row>
    <row r="33" spans="1:5" ht="18" customHeight="1" x14ac:dyDescent="0.3">
      <c r="A33" s="246" t="s">
        <v>144</v>
      </c>
      <c r="B33" s="115" t="s">
        <v>145</v>
      </c>
      <c r="C33" s="513">
        <v>69</v>
      </c>
      <c r="D33" s="160">
        <f>IF(B15="silber",C15*D15,0)</f>
        <v>0</v>
      </c>
      <c r="E33" s="247">
        <f>C33*D33</f>
        <v>0</v>
      </c>
    </row>
    <row r="34" spans="1:5" ht="18" customHeight="1" x14ac:dyDescent="0.3">
      <c r="A34" s="246" t="s">
        <v>898</v>
      </c>
      <c r="B34" s="115" t="s">
        <v>897</v>
      </c>
      <c r="C34" s="513">
        <v>87</v>
      </c>
      <c r="D34" s="160">
        <f t="shared" ref="D34:D43" si="2">IF(B16="silber",C16*D16,0)</f>
        <v>0</v>
      </c>
      <c r="E34" s="247">
        <f t="shared" ref="E34:E43" si="3">C34*D34</f>
        <v>0</v>
      </c>
    </row>
    <row r="35" spans="1:5" ht="18" customHeight="1" x14ac:dyDescent="0.3">
      <c r="A35" s="246" t="s">
        <v>488</v>
      </c>
      <c r="B35" s="115" t="s">
        <v>467</v>
      </c>
      <c r="C35" s="513">
        <v>107</v>
      </c>
      <c r="D35" s="160">
        <f t="shared" si="2"/>
        <v>0</v>
      </c>
      <c r="E35" s="247">
        <f t="shared" si="3"/>
        <v>0</v>
      </c>
    </row>
    <row r="36" spans="1:5" ht="18" customHeight="1" x14ac:dyDescent="0.3">
      <c r="A36" s="246" t="s">
        <v>489</v>
      </c>
      <c r="B36" s="115" t="s">
        <v>468</v>
      </c>
      <c r="C36" s="513">
        <v>90</v>
      </c>
      <c r="D36" s="160">
        <f t="shared" si="2"/>
        <v>0</v>
      </c>
      <c r="E36" s="247">
        <f t="shared" si="3"/>
        <v>0</v>
      </c>
    </row>
    <row r="37" spans="1:5" ht="18" customHeight="1" x14ac:dyDescent="0.3">
      <c r="A37" s="246" t="s">
        <v>490</v>
      </c>
      <c r="B37" s="115" t="s">
        <v>469</v>
      </c>
      <c r="C37" s="513">
        <v>90</v>
      </c>
      <c r="D37" s="160">
        <f t="shared" si="2"/>
        <v>0</v>
      </c>
      <c r="E37" s="247">
        <f t="shared" si="3"/>
        <v>0</v>
      </c>
    </row>
    <row r="38" spans="1:5" ht="18" customHeight="1" x14ac:dyDescent="0.3">
      <c r="A38" s="246" t="s">
        <v>491</v>
      </c>
      <c r="B38" s="115" t="s">
        <v>470</v>
      </c>
      <c r="C38" s="513">
        <v>150</v>
      </c>
      <c r="D38" s="160">
        <f t="shared" si="2"/>
        <v>0</v>
      </c>
      <c r="E38" s="247">
        <f t="shared" si="3"/>
        <v>0</v>
      </c>
    </row>
    <row r="39" spans="1:5" ht="18" customHeight="1" x14ac:dyDescent="0.3">
      <c r="A39" s="246" t="s">
        <v>494</v>
      </c>
      <c r="B39" s="115" t="s">
        <v>471</v>
      </c>
      <c r="C39" s="513">
        <v>98</v>
      </c>
      <c r="D39" s="160">
        <f t="shared" si="2"/>
        <v>0</v>
      </c>
      <c r="E39" s="247">
        <f t="shared" si="3"/>
        <v>0</v>
      </c>
    </row>
    <row r="40" spans="1:5" ht="18" customHeight="1" x14ac:dyDescent="0.3">
      <c r="A40" s="246" t="s">
        <v>493</v>
      </c>
      <c r="B40" s="115" t="s">
        <v>472</v>
      </c>
      <c r="C40" s="513">
        <v>352</v>
      </c>
      <c r="D40" s="160">
        <f t="shared" si="2"/>
        <v>0</v>
      </c>
      <c r="E40" s="247">
        <f t="shared" si="3"/>
        <v>0</v>
      </c>
    </row>
    <row r="41" spans="1:5" ht="18" customHeight="1" x14ac:dyDescent="0.3">
      <c r="A41" s="246" t="s">
        <v>492</v>
      </c>
      <c r="B41" s="115" t="s">
        <v>473</v>
      </c>
      <c r="C41" s="513">
        <v>280</v>
      </c>
      <c r="D41" s="160">
        <f t="shared" si="2"/>
        <v>0</v>
      </c>
      <c r="E41" s="247">
        <f t="shared" si="3"/>
        <v>0</v>
      </c>
    </row>
    <row r="42" spans="1:5" ht="18" customHeight="1" x14ac:dyDescent="0.3">
      <c r="A42" s="246" t="s">
        <v>193</v>
      </c>
      <c r="B42" s="115" t="s">
        <v>194</v>
      </c>
      <c r="C42" s="513">
        <v>960</v>
      </c>
      <c r="D42" s="160">
        <f t="shared" si="2"/>
        <v>0</v>
      </c>
      <c r="E42" s="247">
        <f t="shared" si="3"/>
        <v>0</v>
      </c>
    </row>
    <row r="43" spans="1:5" ht="18" customHeight="1" thickBot="1" x14ac:dyDescent="0.35">
      <c r="A43" s="246" t="s">
        <v>68</v>
      </c>
      <c r="B43" s="124" t="s">
        <v>69</v>
      </c>
      <c r="C43" s="591">
        <v>107</v>
      </c>
      <c r="D43" s="160">
        <f t="shared" si="2"/>
        <v>0</v>
      </c>
      <c r="E43" s="247">
        <f t="shared" si="3"/>
        <v>0</v>
      </c>
    </row>
    <row r="44" spans="1:5" ht="18" customHeight="1" x14ac:dyDescent="0.3">
      <c r="A44" s="592" t="s">
        <v>171</v>
      </c>
      <c r="B44" s="168" t="s">
        <v>172</v>
      </c>
      <c r="C44" s="593">
        <v>109</v>
      </c>
      <c r="D44" s="589">
        <f>IF(B15="gold",C15*D15,0)</f>
        <v>0</v>
      </c>
      <c r="E44" s="594">
        <f t="shared" ref="E44:E55" si="4">C44*D44</f>
        <v>0</v>
      </c>
    </row>
    <row r="45" spans="1:5" ht="18" customHeight="1" x14ac:dyDescent="0.3">
      <c r="A45" s="246" t="s">
        <v>899</v>
      </c>
      <c r="B45" s="115" t="s">
        <v>900</v>
      </c>
      <c r="C45" s="513">
        <v>127</v>
      </c>
      <c r="D45" s="160">
        <f t="shared" ref="D45:D54" si="5">IF(B16="gold",C16*D16,0)</f>
        <v>0</v>
      </c>
      <c r="E45" s="247">
        <f t="shared" ref="E45:E54" si="6">C45*D45</f>
        <v>0</v>
      </c>
    </row>
    <row r="46" spans="1:5" ht="18" customHeight="1" x14ac:dyDescent="0.3">
      <c r="A46" s="600" t="s">
        <v>495</v>
      </c>
      <c r="B46" s="115" t="s">
        <v>474</v>
      </c>
      <c r="C46" s="513">
        <v>147</v>
      </c>
      <c r="D46" s="160">
        <f t="shared" si="5"/>
        <v>0</v>
      </c>
      <c r="E46" s="247">
        <f t="shared" si="6"/>
        <v>0</v>
      </c>
    </row>
    <row r="47" spans="1:5" ht="18" customHeight="1" x14ac:dyDescent="0.3">
      <c r="A47" s="601" t="s">
        <v>496</v>
      </c>
      <c r="B47" s="115" t="s">
        <v>475</v>
      </c>
      <c r="C47" s="513">
        <v>130</v>
      </c>
      <c r="D47" s="160">
        <f t="shared" si="5"/>
        <v>0</v>
      </c>
      <c r="E47" s="247">
        <f t="shared" si="6"/>
        <v>0</v>
      </c>
    </row>
    <row r="48" spans="1:5" ht="18" customHeight="1" x14ac:dyDescent="0.3">
      <c r="A48" s="601" t="s">
        <v>497</v>
      </c>
      <c r="B48" s="115" t="s">
        <v>476</v>
      </c>
      <c r="C48" s="513">
        <v>130</v>
      </c>
      <c r="D48" s="160">
        <f t="shared" si="5"/>
        <v>0</v>
      </c>
      <c r="E48" s="247">
        <f t="shared" si="6"/>
        <v>0</v>
      </c>
    </row>
    <row r="49" spans="1:5" ht="18" customHeight="1" x14ac:dyDescent="0.3">
      <c r="A49" s="601" t="s">
        <v>498</v>
      </c>
      <c r="B49" s="115" t="s">
        <v>477</v>
      </c>
      <c r="C49" s="513">
        <v>190</v>
      </c>
      <c r="D49" s="160">
        <f t="shared" si="5"/>
        <v>0</v>
      </c>
      <c r="E49" s="247">
        <f t="shared" si="6"/>
        <v>0</v>
      </c>
    </row>
    <row r="50" spans="1:5" ht="18" customHeight="1" x14ac:dyDescent="0.3">
      <c r="A50" s="601" t="s">
        <v>499</v>
      </c>
      <c r="B50" s="115" t="s">
        <v>478</v>
      </c>
      <c r="C50" s="513">
        <v>138</v>
      </c>
      <c r="D50" s="160">
        <f t="shared" si="5"/>
        <v>0</v>
      </c>
      <c r="E50" s="247">
        <f t="shared" si="6"/>
        <v>0</v>
      </c>
    </row>
    <row r="51" spans="1:5" ht="18" customHeight="1" x14ac:dyDescent="0.3">
      <c r="A51" s="601" t="s">
        <v>500</v>
      </c>
      <c r="B51" s="115" t="s">
        <v>479</v>
      </c>
      <c r="C51" s="513">
        <v>392</v>
      </c>
      <c r="D51" s="160">
        <f t="shared" si="5"/>
        <v>0</v>
      </c>
      <c r="E51" s="247">
        <f t="shared" si="6"/>
        <v>0</v>
      </c>
    </row>
    <row r="52" spans="1:5" ht="18" customHeight="1" x14ac:dyDescent="0.3">
      <c r="A52" s="601" t="s">
        <v>501</v>
      </c>
      <c r="B52" s="115" t="s">
        <v>480</v>
      </c>
      <c r="C52" s="513">
        <v>320</v>
      </c>
      <c r="D52" s="160">
        <f t="shared" si="5"/>
        <v>0</v>
      </c>
      <c r="E52" s="247">
        <f t="shared" si="6"/>
        <v>0</v>
      </c>
    </row>
    <row r="53" spans="1:5" ht="18" customHeight="1" x14ac:dyDescent="0.3">
      <c r="A53" s="246" t="s">
        <v>195</v>
      </c>
      <c r="B53" s="115" t="s">
        <v>196</v>
      </c>
      <c r="C53" s="513">
        <v>1000</v>
      </c>
      <c r="D53" s="160">
        <f t="shared" si="5"/>
        <v>0</v>
      </c>
      <c r="E53" s="247">
        <f t="shared" si="6"/>
        <v>0</v>
      </c>
    </row>
    <row r="54" spans="1:5" ht="18" customHeight="1" thickBot="1" x14ac:dyDescent="0.35">
      <c r="A54" s="590" t="s">
        <v>70</v>
      </c>
      <c r="B54" s="124" t="s">
        <v>71</v>
      </c>
      <c r="C54" s="591">
        <v>147</v>
      </c>
      <c r="D54" s="596">
        <f t="shared" si="5"/>
        <v>0</v>
      </c>
      <c r="E54" s="597">
        <f t="shared" si="6"/>
        <v>0</v>
      </c>
    </row>
    <row r="55" spans="1:5" ht="18" customHeight="1" x14ac:dyDescent="0.3">
      <c r="A55" s="592" t="s">
        <v>166</v>
      </c>
      <c r="B55" s="168" t="s">
        <v>167</v>
      </c>
      <c r="C55" s="593">
        <v>120</v>
      </c>
      <c r="D55" s="589">
        <f>IF(B15="gold onsite",C15*D15,0)</f>
        <v>0</v>
      </c>
      <c r="E55" s="594">
        <f t="shared" si="4"/>
        <v>0</v>
      </c>
    </row>
    <row r="56" spans="1:5" ht="18" customHeight="1" x14ac:dyDescent="0.3">
      <c r="A56" s="246" t="s">
        <v>901</v>
      </c>
      <c r="B56" s="115" t="s">
        <v>902</v>
      </c>
      <c r="C56" s="513">
        <v>152</v>
      </c>
      <c r="D56" s="160">
        <f t="shared" ref="D56:D65" si="7">IF(B16="gold onsite",C16*D16,0)</f>
        <v>0</v>
      </c>
      <c r="E56" s="247">
        <f t="shared" ref="E56:E65" si="8">C56*D56</f>
        <v>0</v>
      </c>
    </row>
    <row r="57" spans="1:5" ht="18" customHeight="1" x14ac:dyDescent="0.3">
      <c r="A57" s="601" t="s">
        <v>502</v>
      </c>
      <c r="B57" s="115" t="s">
        <v>481</v>
      </c>
      <c r="C57" s="513">
        <v>187</v>
      </c>
      <c r="D57" s="160">
        <f t="shared" si="7"/>
        <v>0</v>
      </c>
      <c r="E57" s="247">
        <f t="shared" si="8"/>
        <v>0</v>
      </c>
    </row>
    <row r="58" spans="1:5" ht="18" customHeight="1" x14ac:dyDescent="0.3">
      <c r="A58" s="601" t="s">
        <v>507</v>
      </c>
      <c r="B58" s="115" t="s">
        <v>482</v>
      </c>
      <c r="C58" s="513">
        <v>158</v>
      </c>
      <c r="D58" s="160">
        <f t="shared" si="7"/>
        <v>0</v>
      </c>
      <c r="E58" s="247">
        <f t="shared" si="8"/>
        <v>0</v>
      </c>
    </row>
    <row r="59" spans="1:5" ht="18" customHeight="1" x14ac:dyDescent="0.3">
      <c r="A59" s="601" t="s">
        <v>508</v>
      </c>
      <c r="B59" s="115" t="s">
        <v>483</v>
      </c>
      <c r="C59" s="513">
        <v>158</v>
      </c>
      <c r="D59" s="160">
        <f t="shared" si="7"/>
        <v>0</v>
      </c>
      <c r="E59" s="247">
        <f t="shared" si="8"/>
        <v>0</v>
      </c>
    </row>
    <row r="60" spans="1:5" ht="18" customHeight="1" x14ac:dyDescent="0.3">
      <c r="A60" s="601" t="s">
        <v>506</v>
      </c>
      <c r="B60" s="115" t="s">
        <v>484</v>
      </c>
      <c r="C60" s="513">
        <v>263</v>
      </c>
      <c r="D60" s="160">
        <f t="shared" si="7"/>
        <v>0</v>
      </c>
      <c r="E60" s="247">
        <f t="shared" si="8"/>
        <v>0</v>
      </c>
    </row>
    <row r="61" spans="1:5" ht="27.6" x14ac:dyDescent="0.3">
      <c r="A61" s="601" t="s">
        <v>503</v>
      </c>
      <c r="B61" s="115" t="s">
        <v>485</v>
      </c>
      <c r="C61" s="513">
        <v>172</v>
      </c>
      <c r="D61" s="160">
        <f t="shared" si="7"/>
        <v>0</v>
      </c>
      <c r="E61" s="247">
        <f t="shared" si="8"/>
        <v>0</v>
      </c>
    </row>
    <row r="62" spans="1:5" ht="27.6" x14ac:dyDescent="0.3">
      <c r="A62" s="601" t="s">
        <v>504</v>
      </c>
      <c r="B62" s="115" t="s">
        <v>486</v>
      </c>
      <c r="C62" s="513">
        <v>616</v>
      </c>
      <c r="D62" s="160">
        <f t="shared" si="7"/>
        <v>0</v>
      </c>
      <c r="E62" s="247">
        <f t="shared" si="8"/>
        <v>0</v>
      </c>
    </row>
    <row r="63" spans="1:5" ht="27.6" x14ac:dyDescent="0.3">
      <c r="A63" s="601" t="s">
        <v>505</v>
      </c>
      <c r="B63" s="115" t="s">
        <v>487</v>
      </c>
      <c r="C63" s="513">
        <v>490</v>
      </c>
      <c r="D63" s="160">
        <f t="shared" si="7"/>
        <v>0</v>
      </c>
      <c r="E63" s="247">
        <f t="shared" si="8"/>
        <v>0</v>
      </c>
    </row>
    <row r="64" spans="1:5" ht="27.6" x14ac:dyDescent="0.3">
      <c r="A64" s="246" t="s">
        <v>197</v>
      </c>
      <c r="B64" s="115" t="s">
        <v>198</v>
      </c>
      <c r="C64" s="513">
        <v>1680</v>
      </c>
      <c r="D64" s="160">
        <f t="shared" si="7"/>
        <v>0</v>
      </c>
      <c r="E64" s="247">
        <f t="shared" si="8"/>
        <v>0</v>
      </c>
    </row>
    <row r="65" spans="1:5" ht="18" customHeight="1" thickBot="1" x14ac:dyDescent="0.35">
      <c r="A65" s="246" t="s">
        <v>73</v>
      </c>
      <c r="B65" s="115" t="s">
        <v>72</v>
      </c>
      <c r="C65" s="514">
        <v>187</v>
      </c>
      <c r="D65" s="598">
        <f t="shared" si="7"/>
        <v>0</v>
      </c>
      <c r="E65" s="248">
        <f t="shared" si="8"/>
        <v>0</v>
      </c>
    </row>
    <row r="66" spans="1:5" ht="30" customHeight="1" thickTop="1" thickBot="1" x14ac:dyDescent="0.35">
      <c r="A66" s="602"/>
      <c r="B66" s="344" t="s">
        <v>306</v>
      </c>
      <c r="C66" s="342"/>
      <c r="D66" s="342"/>
      <c r="E66" s="395">
        <f>SUM(E33:E65)</f>
        <v>0</v>
      </c>
    </row>
    <row r="67" spans="1:5" ht="14.4" thickTop="1" x14ac:dyDescent="0.3"/>
    <row r="139" spans="5:9" x14ac:dyDescent="0.3">
      <c r="E139" s="66">
        <v>0</v>
      </c>
      <c r="F139" s="66">
        <v>1</v>
      </c>
      <c r="G139" s="66">
        <v>2</v>
      </c>
      <c r="H139" s="66">
        <v>3</v>
      </c>
      <c r="I139" s="66">
        <v>4</v>
      </c>
    </row>
    <row r="140" spans="5:9" x14ac:dyDescent="0.3">
      <c r="F140" s="66" t="s">
        <v>302</v>
      </c>
      <c r="G140" s="66" t="s">
        <v>303</v>
      </c>
      <c r="H140" s="66" t="s">
        <v>304</v>
      </c>
    </row>
  </sheetData>
  <sheetProtection password="EE20" sheet="1" objects="1" scenarios="1"/>
  <mergeCells count="4">
    <mergeCell ref="B6:F6"/>
    <mergeCell ref="B8:F8"/>
    <mergeCell ref="B4:F4"/>
    <mergeCell ref="A2:F2"/>
  </mergeCells>
  <dataValidations count="3">
    <dataValidation type="list" allowBlank="1" showInputMessage="1" showErrorMessage="1" sqref="B15:B25">
      <formula1>$F$140:$H$140</formula1>
    </dataValidation>
    <dataValidation type="list" allowBlank="1" showInputMessage="1" showErrorMessage="1" sqref="D15:D25">
      <formula1>$E$139:$I$139</formula1>
    </dataValidation>
    <dataValidation type="list" allowBlank="1" showInputMessage="1" showErrorMessage="1" sqref="B3:C3">
      <formula1>$H$3:$I$3</formula1>
    </dataValidation>
  </dataValidations>
  <pageMargins left="0.51181102362204722" right="0.51181102362204722" top="0.98425196850393704" bottom="0.78740157480314965" header="0.31496062992125984" footer="0.31496062992125984"/>
  <pageSetup paperSize="9" scale="85" orientation="portrait" r:id="rId1"/>
  <headerFooter>
    <oddHeader>&amp;L&amp;20 &amp;K00-0345. Hardware Support&amp;R&amp;G</oddHeader>
    <oddFooter>&amp;C&amp;P</oddFooter>
  </headerFooter>
  <drawing r:id="rId2"/>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7"/>
  <sheetViews>
    <sheetView zoomScaleNormal="100" workbookViewId="0">
      <selection activeCell="J33" sqref="J33"/>
    </sheetView>
  </sheetViews>
  <sheetFormatPr baseColWidth="10" defaultColWidth="11.5546875" defaultRowHeight="13.8" x14ac:dyDescent="0.3"/>
  <cols>
    <col min="1" max="1" width="22.33203125" style="66" customWidth="1"/>
    <col min="2" max="2" width="15.109375" style="66" customWidth="1"/>
    <col min="3" max="3" width="32.109375" style="66" customWidth="1"/>
    <col min="4" max="4" width="56.88671875" style="66" hidden="1" customWidth="1"/>
    <col min="5" max="5" width="15.5546875" style="66" customWidth="1"/>
    <col min="6" max="6" width="11.5546875" style="66"/>
    <col min="7" max="7" width="15.109375" style="66" customWidth="1"/>
    <col min="8" max="16384" width="11.5546875" style="66"/>
  </cols>
  <sheetData>
    <row r="1" spans="1:7" ht="45" customHeight="1" x14ac:dyDescent="0.3">
      <c r="A1" s="283"/>
      <c r="B1" s="283"/>
      <c r="C1" s="283"/>
      <c r="D1" s="283"/>
      <c r="E1" s="283"/>
      <c r="F1" s="284"/>
      <c r="G1" s="284"/>
    </row>
    <row r="2" spans="1:7" ht="36" customHeight="1" x14ac:dyDescent="0.3">
      <c r="A2" s="500" t="s">
        <v>301</v>
      </c>
      <c r="B2" s="501"/>
      <c r="C2" s="501"/>
      <c r="D2" s="501"/>
      <c r="E2" s="501"/>
      <c r="F2" s="501"/>
      <c r="G2" s="536"/>
    </row>
    <row r="3" spans="1:7" ht="13.95" customHeight="1" x14ac:dyDescent="0.3">
      <c r="A3" s="480"/>
      <c r="B3" s="439" t="s">
        <v>670</v>
      </c>
      <c r="C3" s="439" t="s">
        <v>536</v>
      </c>
      <c r="D3" s="192" t="s">
        <v>165</v>
      </c>
      <c r="E3" s="632" t="s">
        <v>520</v>
      </c>
      <c r="F3" s="218" t="s">
        <v>521</v>
      </c>
      <c r="G3" s="437" t="s">
        <v>629</v>
      </c>
    </row>
    <row r="4" spans="1:7" ht="29.25" customHeight="1" x14ac:dyDescent="0.3">
      <c r="A4" s="481" t="s">
        <v>24</v>
      </c>
      <c r="B4" s="525" t="s">
        <v>49</v>
      </c>
      <c r="C4" s="522" t="s">
        <v>25</v>
      </c>
      <c r="D4" s="5" t="s">
        <v>26</v>
      </c>
      <c r="E4" s="517">
        <v>629.41176470588232</v>
      </c>
      <c r="F4" s="45"/>
      <c r="G4" s="46">
        <f t="shared" ref="G4:G9" si="0">F4*E4</f>
        <v>0</v>
      </c>
    </row>
    <row r="5" spans="1:7" ht="29.25" customHeight="1" x14ac:dyDescent="0.3">
      <c r="A5" s="244"/>
      <c r="B5" s="525" t="s">
        <v>50</v>
      </c>
      <c r="C5" s="522" t="s">
        <v>27</v>
      </c>
      <c r="D5" s="219" t="s">
        <v>28</v>
      </c>
      <c r="E5" s="517">
        <v>1116.8067226890757</v>
      </c>
      <c r="F5" s="45"/>
      <c r="G5" s="46">
        <f t="shared" si="0"/>
        <v>0</v>
      </c>
    </row>
    <row r="6" spans="1:7" ht="29.25" customHeight="1" x14ac:dyDescent="0.3">
      <c r="A6" s="244"/>
      <c r="B6" s="525" t="s">
        <v>51</v>
      </c>
      <c r="C6" s="522" t="s">
        <v>29</v>
      </c>
      <c r="D6" s="219" t="s">
        <v>30</v>
      </c>
      <c r="E6" s="517">
        <v>2419.3277310924368</v>
      </c>
      <c r="F6" s="45"/>
      <c r="G6" s="46">
        <f t="shared" si="0"/>
        <v>0</v>
      </c>
    </row>
    <row r="7" spans="1:7" ht="29.25" customHeight="1" x14ac:dyDescent="0.3">
      <c r="A7" s="526"/>
      <c r="B7" s="525" t="s">
        <v>52</v>
      </c>
      <c r="C7" s="522" t="s">
        <v>31</v>
      </c>
      <c r="D7" s="219" t="s">
        <v>32</v>
      </c>
      <c r="E7" s="517">
        <v>4200.8403361344535</v>
      </c>
      <c r="F7" s="45"/>
      <c r="G7" s="46">
        <f t="shared" si="0"/>
        <v>0</v>
      </c>
    </row>
    <row r="8" spans="1:7" ht="29.25" customHeight="1" x14ac:dyDescent="0.3">
      <c r="A8" s="525"/>
      <c r="B8" s="525" t="s">
        <v>53</v>
      </c>
      <c r="C8" s="522" t="s">
        <v>33</v>
      </c>
      <c r="D8" s="219" t="s">
        <v>34</v>
      </c>
      <c r="E8" s="517">
        <v>5881.5126050420167</v>
      </c>
      <c r="F8" s="45"/>
      <c r="G8" s="46">
        <f t="shared" si="0"/>
        <v>0</v>
      </c>
    </row>
    <row r="9" spans="1:7" ht="29.25" customHeight="1" thickBot="1" x14ac:dyDescent="0.35">
      <c r="A9" s="525"/>
      <c r="B9" s="525" t="s">
        <v>54</v>
      </c>
      <c r="C9" s="522" t="s">
        <v>35</v>
      </c>
      <c r="D9" s="219" t="s">
        <v>36</v>
      </c>
      <c r="E9" s="517">
        <v>7343.6974789915967</v>
      </c>
      <c r="F9" s="45"/>
      <c r="G9" s="46">
        <f t="shared" si="0"/>
        <v>0</v>
      </c>
    </row>
    <row r="10" spans="1:7" ht="29.25" customHeight="1" x14ac:dyDescent="0.3">
      <c r="A10" s="527" t="s">
        <v>773</v>
      </c>
      <c r="B10" s="523" t="s">
        <v>43</v>
      </c>
      <c r="C10" s="529" t="s">
        <v>774</v>
      </c>
      <c r="D10" s="221" t="s">
        <v>37</v>
      </c>
      <c r="E10" s="516">
        <v>503.52941176470597</v>
      </c>
      <c r="F10" s="53"/>
      <c r="G10" s="54">
        <f t="shared" ref="G10:G21" si="1">F10*E10</f>
        <v>0</v>
      </c>
    </row>
    <row r="11" spans="1:7" ht="29.25" customHeight="1" x14ac:dyDescent="0.3">
      <c r="A11" s="244"/>
      <c r="B11" s="525" t="s">
        <v>44</v>
      </c>
      <c r="C11" s="530" t="s">
        <v>775</v>
      </c>
      <c r="D11" s="219" t="s">
        <v>38</v>
      </c>
      <c r="E11" s="517">
        <v>893.44537815126046</v>
      </c>
      <c r="F11" s="45"/>
      <c r="G11" s="46">
        <f t="shared" si="1"/>
        <v>0</v>
      </c>
    </row>
    <row r="12" spans="1:7" ht="29.25" customHeight="1" x14ac:dyDescent="0.3">
      <c r="A12" s="525"/>
      <c r="B12" s="525" t="s">
        <v>45</v>
      </c>
      <c r="C12" s="530" t="s">
        <v>776</v>
      </c>
      <c r="D12" s="219" t="s">
        <v>39</v>
      </c>
      <c r="E12" s="517">
        <v>1935.4621848739494</v>
      </c>
      <c r="F12" s="45"/>
      <c r="G12" s="46">
        <f t="shared" si="1"/>
        <v>0</v>
      </c>
    </row>
    <row r="13" spans="1:7" ht="29.25" customHeight="1" x14ac:dyDescent="0.3">
      <c r="A13" s="525"/>
      <c r="B13" s="525" t="s">
        <v>46</v>
      </c>
      <c r="C13" s="530" t="s">
        <v>777</v>
      </c>
      <c r="D13" s="219" t="s">
        <v>40</v>
      </c>
      <c r="E13" s="517">
        <v>3360.6722689075632</v>
      </c>
      <c r="F13" s="45"/>
      <c r="G13" s="46">
        <f t="shared" si="1"/>
        <v>0</v>
      </c>
    </row>
    <row r="14" spans="1:7" ht="29.25" customHeight="1" x14ac:dyDescent="0.3">
      <c r="A14" s="525"/>
      <c r="B14" s="525" t="s">
        <v>47</v>
      </c>
      <c r="C14" s="530" t="s">
        <v>778</v>
      </c>
      <c r="D14" s="219" t="s">
        <v>41</v>
      </c>
      <c r="E14" s="517">
        <v>4705.2100840336134</v>
      </c>
      <c r="F14" s="45"/>
      <c r="G14" s="46">
        <f t="shared" si="1"/>
        <v>0</v>
      </c>
    </row>
    <row r="15" spans="1:7" ht="29.25" customHeight="1" thickBot="1" x14ac:dyDescent="0.35">
      <c r="A15" s="531"/>
      <c r="B15" s="531" t="s">
        <v>48</v>
      </c>
      <c r="C15" s="532" t="s">
        <v>779</v>
      </c>
      <c r="D15" s="220" t="s">
        <v>42</v>
      </c>
      <c r="E15" s="518">
        <v>5874.957983193277</v>
      </c>
      <c r="F15" s="48"/>
      <c r="G15" s="49">
        <f t="shared" si="1"/>
        <v>0</v>
      </c>
    </row>
    <row r="16" spans="1:7" ht="27.6" x14ac:dyDescent="0.3">
      <c r="A16" s="527" t="s">
        <v>772</v>
      </c>
      <c r="B16" s="523" t="s">
        <v>55</v>
      </c>
      <c r="C16" s="524" t="s">
        <v>785</v>
      </c>
      <c r="D16" s="221" t="s">
        <v>308</v>
      </c>
      <c r="E16" s="516">
        <v>421.71</v>
      </c>
      <c r="F16" s="53"/>
      <c r="G16" s="54">
        <f t="shared" si="1"/>
        <v>0</v>
      </c>
    </row>
    <row r="17" spans="1:7" ht="27.6" x14ac:dyDescent="0.3">
      <c r="A17" s="525"/>
      <c r="B17" s="525" t="s">
        <v>56</v>
      </c>
      <c r="C17" s="522" t="s">
        <v>784</v>
      </c>
      <c r="D17" s="219" t="s">
        <v>309</v>
      </c>
      <c r="E17" s="517">
        <v>748.26</v>
      </c>
      <c r="F17" s="45"/>
      <c r="G17" s="46">
        <f t="shared" si="1"/>
        <v>0</v>
      </c>
    </row>
    <row r="18" spans="1:7" ht="27.6" x14ac:dyDescent="0.3">
      <c r="A18" s="525"/>
      <c r="B18" s="525" t="s">
        <v>57</v>
      </c>
      <c r="C18" s="522" t="s">
        <v>783</v>
      </c>
      <c r="D18" s="219" t="s">
        <v>310</v>
      </c>
      <c r="E18" s="517">
        <v>1620.95</v>
      </c>
      <c r="F18" s="45"/>
      <c r="G18" s="46">
        <f t="shared" si="1"/>
        <v>0</v>
      </c>
    </row>
    <row r="19" spans="1:7" ht="27.6" x14ac:dyDescent="0.3">
      <c r="A19" s="525"/>
      <c r="B19" s="525" t="s">
        <v>58</v>
      </c>
      <c r="C19" s="522" t="s">
        <v>782</v>
      </c>
      <c r="D19" s="219" t="s">
        <v>311</v>
      </c>
      <c r="E19" s="517">
        <v>2814.56</v>
      </c>
      <c r="F19" s="45"/>
      <c r="G19" s="46">
        <f t="shared" si="1"/>
        <v>0</v>
      </c>
    </row>
    <row r="20" spans="1:7" ht="27.6" x14ac:dyDescent="0.3">
      <c r="A20" s="525"/>
      <c r="B20" s="525" t="s">
        <v>59</v>
      </c>
      <c r="C20" s="522" t="s">
        <v>781</v>
      </c>
      <c r="D20" s="219" t="s">
        <v>312</v>
      </c>
      <c r="E20" s="517">
        <v>3940.61</v>
      </c>
      <c r="F20" s="45"/>
      <c r="G20" s="46">
        <f t="shared" si="1"/>
        <v>0</v>
      </c>
    </row>
    <row r="21" spans="1:7" ht="28.2" thickBot="1" x14ac:dyDescent="0.35">
      <c r="A21" s="531"/>
      <c r="B21" s="531" t="s">
        <v>60</v>
      </c>
      <c r="C21" s="528" t="s">
        <v>780</v>
      </c>
      <c r="D21" s="220" t="s">
        <v>313</v>
      </c>
      <c r="E21" s="518">
        <v>4920.28</v>
      </c>
      <c r="F21" s="48"/>
      <c r="G21" s="49">
        <f t="shared" si="1"/>
        <v>0</v>
      </c>
    </row>
    <row r="22" spans="1:7" ht="29.25" customHeight="1" x14ac:dyDescent="0.3">
      <c r="A22" s="533" t="s">
        <v>114</v>
      </c>
      <c r="B22" s="575" t="s">
        <v>346</v>
      </c>
      <c r="C22" s="534" t="s">
        <v>96</v>
      </c>
      <c r="D22" s="222" t="s">
        <v>97</v>
      </c>
      <c r="E22" s="519">
        <v>621.01</v>
      </c>
      <c r="F22" s="223"/>
      <c r="G22" s="54">
        <f t="shared" ref="G22:G24" si="2">F22*E22</f>
        <v>0</v>
      </c>
    </row>
    <row r="23" spans="1:7" ht="29.25" customHeight="1" x14ac:dyDescent="0.3">
      <c r="A23" s="525"/>
      <c r="B23" s="383" t="s">
        <v>347</v>
      </c>
      <c r="C23" s="535" t="s">
        <v>98</v>
      </c>
      <c r="D23" s="224" t="s">
        <v>99</v>
      </c>
      <c r="E23" s="515">
        <v>1066.3865546218487</v>
      </c>
      <c r="F23" s="225"/>
      <c r="G23" s="46">
        <f t="shared" si="2"/>
        <v>0</v>
      </c>
    </row>
    <row r="24" spans="1:7" ht="29.25" customHeight="1" thickBot="1" x14ac:dyDescent="0.35">
      <c r="A24" s="531"/>
      <c r="B24" s="383" t="s">
        <v>348</v>
      </c>
      <c r="C24" s="125" t="s">
        <v>128</v>
      </c>
      <c r="D24" s="55" t="s">
        <v>61</v>
      </c>
      <c r="E24" s="520">
        <v>310.08</v>
      </c>
      <c r="F24" s="226"/>
      <c r="G24" s="49">
        <f t="shared" si="2"/>
        <v>0</v>
      </c>
    </row>
    <row r="25" spans="1:7" ht="24" customHeight="1" thickTop="1" thickBot="1" x14ac:dyDescent="0.35">
      <c r="A25" s="343" t="s">
        <v>769</v>
      </c>
      <c r="B25" s="342"/>
      <c r="C25" s="342"/>
      <c r="D25" s="345"/>
      <c r="E25" s="345"/>
      <c r="F25" s="345"/>
      <c r="G25" s="346">
        <f>SUM(G4:G24)</f>
        <v>0</v>
      </c>
    </row>
    <row r="26" spans="1:7" ht="29.25" customHeight="1" thickTop="1" x14ac:dyDescent="0.3">
      <c r="A26" s="392"/>
      <c r="B26" s="393"/>
      <c r="C26" s="393"/>
      <c r="D26" s="393"/>
      <c r="E26" s="394"/>
      <c r="F26" s="392"/>
      <c r="G26" s="392"/>
    </row>
    <row r="27" spans="1:7" ht="29.25" customHeight="1" x14ac:dyDescent="0.3">
      <c r="A27" s="389"/>
      <c r="B27" s="229"/>
      <c r="C27" s="229"/>
      <c r="D27" s="229"/>
      <c r="E27" s="390"/>
      <c r="F27" s="391"/>
      <c r="G27" s="13"/>
    </row>
    <row r="28" spans="1:7" ht="36" customHeight="1" x14ac:dyDescent="0.3">
      <c r="A28" s="500" t="s">
        <v>307</v>
      </c>
      <c r="B28" s="501"/>
      <c r="C28" s="501"/>
      <c r="D28" s="501"/>
      <c r="E28" s="501"/>
      <c r="F28" s="501"/>
      <c r="G28" s="536"/>
    </row>
    <row r="29" spans="1:7" ht="13.95" customHeight="1" x14ac:dyDescent="0.3">
      <c r="A29" s="191"/>
      <c r="B29" s="439" t="s">
        <v>670</v>
      </c>
      <c r="C29" s="439" t="s">
        <v>536</v>
      </c>
      <c r="D29" s="192" t="s">
        <v>165</v>
      </c>
      <c r="E29" s="477" t="s">
        <v>520</v>
      </c>
      <c r="F29" s="218" t="s">
        <v>521</v>
      </c>
      <c r="G29" s="437" t="s">
        <v>629</v>
      </c>
    </row>
    <row r="30" spans="1:7" ht="27.6" x14ac:dyDescent="0.3">
      <c r="A30" s="228"/>
      <c r="B30" s="224" t="s">
        <v>5</v>
      </c>
      <c r="C30" s="535" t="s">
        <v>786</v>
      </c>
      <c r="D30" s="224" t="s">
        <v>6</v>
      </c>
      <c r="E30" s="515">
        <v>285</v>
      </c>
      <c r="F30" s="45"/>
      <c r="G30" s="49">
        <f t="shared" ref="G30:G32" si="3">F30*E30</f>
        <v>0</v>
      </c>
    </row>
    <row r="31" spans="1:7" ht="27.6" x14ac:dyDescent="0.3">
      <c r="A31" s="228"/>
      <c r="B31" s="224" t="s">
        <v>7</v>
      </c>
      <c r="C31" s="535" t="s">
        <v>787</v>
      </c>
      <c r="D31" s="224" t="s">
        <v>8</v>
      </c>
      <c r="E31" s="515">
        <v>285</v>
      </c>
      <c r="F31" s="45"/>
      <c r="G31" s="49">
        <f t="shared" si="3"/>
        <v>0</v>
      </c>
    </row>
    <row r="32" spans="1:7" ht="27.6" x14ac:dyDescent="0.3">
      <c r="A32" s="227"/>
      <c r="B32" s="55" t="s">
        <v>9</v>
      </c>
      <c r="C32" s="535" t="s">
        <v>788</v>
      </c>
      <c r="D32" s="55" t="s">
        <v>126</v>
      </c>
      <c r="E32" s="520">
        <v>215</v>
      </c>
      <c r="F32" s="48"/>
      <c r="G32" s="49">
        <f t="shared" si="3"/>
        <v>0</v>
      </c>
    </row>
    <row r="33" spans="1:7" ht="28.2" thickBot="1" x14ac:dyDescent="0.35">
      <c r="A33" s="382"/>
      <c r="B33" s="383" t="s">
        <v>345</v>
      </c>
      <c r="C33" s="535" t="s">
        <v>789</v>
      </c>
      <c r="D33" s="186"/>
      <c r="E33" s="521">
        <v>125</v>
      </c>
      <c r="F33" s="48"/>
      <c r="G33" s="49">
        <f t="shared" ref="G33" si="4">F33*E33</f>
        <v>0</v>
      </c>
    </row>
    <row r="34" spans="1:7" ht="24" customHeight="1" thickTop="1" thickBot="1" x14ac:dyDescent="0.35">
      <c r="A34" s="345" t="s">
        <v>770</v>
      </c>
      <c r="B34" s="345"/>
      <c r="C34" s="345"/>
      <c r="D34" s="345"/>
      <c r="E34" s="345"/>
      <c r="F34" s="345"/>
      <c r="G34" s="346">
        <f>SUM(G30:G33)</f>
        <v>0</v>
      </c>
    </row>
    <row r="35" spans="1:7" ht="14.4" thickTop="1" x14ac:dyDescent="0.3"/>
    <row r="36" spans="1:7" ht="14.4" thickBot="1" x14ac:dyDescent="0.35"/>
    <row r="37" spans="1:7" ht="30" customHeight="1" thickBot="1" x14ac:dyDescent="0.35">
      <c r="A37" s="537" t="s">
        <v>771</v>
      </c>
      <c r="B37" s="538"/>
      <c r="C37" s="539"/>
      <c r="D37" s="539"/>
      <c r="E37" s="540"/>
      <c r="F37" s="538"/>
      <c r="G37" s="289">
        <f>G25+G34</f>
        <v>0</v>
      </c>
    </row>
  </sheetData>
  <sheetProtection password="EE20" sheet="1" objects="1" scenarios="1"/>
  <pageMargins left="0.51181102362204722" right="0.51181102362204722" top="0.98425196850393704" bottom="0.78740157480314965" header="0.31496062992125984" footer="0.31496062992125984"/>
  <pageSetup paperSize="9" scale="66" orientation="portrait" verticalDpi="0" r:id="rId1"/>
  <headerFooter>
    <oddHeader>&amp;L&amp;20 &amp;K00-0346. 3rd Party (Estos, TE-Systems)&amp;R&amp;G</oddHeader>
    <oddFooter>&amp;C&amp;P</oddFooter>
  </headerFooter>
  <rowBreaks count="1" manualBreakCount="1">
    <brk id="27" max="6" man="1"/>
  </rowBreaks>
  <drawing r:id="rId2"/>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57"/>
  <sheetViews>
    <sheetView workbookViewId="0">
      <selection activeCell="G3" sqref="G3"/>
    </sheetView>
  </sheetViews>
  <sheetFormatPr baseColWidth="10" defaultColWidth="11.5546875" defaultRowHeight="13.8" x14ac:dyDescent="0.3"/>
  <cols>
    <col min="1" max="1" width="20.33203125" style="66" customWidth="1"/>
    <col min="2" max="2" width="2.33203125" style="66" customWidth="1"/>
    <col min="3" max="3" width="37" style="66" customWidth="1"/>
    <col min="4" max="4" width="16.5546875" style="66" customWidth="1"/>
    <col min="5" max="16384" width="11.5546875" style="66"/>
  </cols>
  <sheetData>
    <row r="1" spans="1:4" ht="45" customHeight="1" thickBot="1" x14ac:dyDescent="0.35">
      <c r="A1" s="283"/>
      <c r="B1" s="283"/>
      <c r="C1" s="283"/>
      <c r="D1" s="283"/>
    </row>
    <row r="2" spans="1:4" ht="36" customHeight="1" thickBot="1" x14ac:dyDescent="0.35">
      <c r="A2" s="541" t="s">
        <v>620</v>
      </c>
      <c r="B2" s="542"/>
      <c r="C2" s="543"/>
      <c r="D2" s="286">
        <f>D10+D16+D27+D35+D38+D45+D52+D57</f>
        <v>0</v>
      </c>
    </row>
    <row r="3" spans="1:4" ht="14.4" thickBot="1" x14ac:dyDescent="0.35">
      <c r="A3" s="216"/>
      <c r="B3" s="216"/>
      <c r="C3" s="216"/>
      <c r="D3" s="216"/>
    </row>
    <row r="4" spans="1:4" x14ac:dyDescent="0.3">
      <c r="A4" s="415" t="s">
        <v>267</v>
      </c>
      <c r="B4" s="544"/>
      <c r="C4" s="545"/>
      <c r="D4" s="252"/>
    </row>
    <row r="5" spans="1:4" x14ac:dyDescent="0.3">
      <c r="A5" s="546"/>
      <c r="B5" s="368"/>
      <c r="C5" s="368" t="s">
        <v>889</v>
      </c>
      <c r="D5" s="255">
        <f>Hardware!H4+Hardware!H5+Hardware!H6+Hardware!H9+Hardware!H10+Hardware!H11+Hardware!H15+Hardware!H16+Hardware!H17</f>
        <v>0</v>
      </c>
    </row>
    <row r="6" spans="1:4" x14ac:dyDescent="0.3">
      <c r="A6" s="546"/>
      <c r="B6" s="368"/>
      <c r="C6" s="368" t="s">
        <v>888</v>
      </c>
      <c r="D6" s="255">
        <f>Hardware!H7+Hardware!H8+Hardware!H12+Hardware!H13+Hardware!H14+Hardware!H18+Hardware!H19+Hardware!H20</f>
        <v>0</v>
      </c>
    </row>
    <row r="7" spans="1:4" x14ac:dyDescent="0.3">
      <c r="A7" s="546"/>
      <c r="B7" s="368"/>
      <c r="C7" s="368" t="s">
        <v>793</v>
      </c>
      <c r="D7" s="255">
        <f>Hardware!H40</f>
        <v>0</v>
      </c>
    </row>
    <row r="8" spans="1:4" x14ac:dyDescent="0.3">
      <c r="A8" s="546"/>
      <c r="B8" s="368"/>
      <c r="C8" s="368" t="s">
        <v>794</v>
      </c>
      <c r="D8" s="255">
        <f>Hardware!H48</f>
        <v>0</v>
      </c>
    </row>
    <row r="9" spans="1:4" ht="14.4" thickBot="1" x14ac:dyDescent="0.35">
      <c r="A9" s="546"/>
      <c r="B9" s="368"/>
      <c r="C9" s="254" t="s">
        <v>795</v>
      </c>
      <c r="D9" s="255">
        <f>Hardware!H68</f>
        <v>0</v>
      </c>
    </row>
    <row r="10" spans="1:4" ht="14.4" thickBot="1" x14ac:dyDescent="0.35">
      <c r="A10" s="547" t="s">
        <v>830</v>
      </c>
      <c r="B10" s="548"/>
      <c r="C10" s="549"/>
      <c r="D10" s="259">
        <f>SUM(D5:D9)</f>
        <v>0</v>
      </c>
    </row>
    <row r="11" spans="1:4" ht="14.4" thickBot="1" x14ac:dyDescent="0.35">
      <c r="A11" s="216"/>
      <c r="B11" s="216"/>
      <c r="C11" s="216"/>
      <c r="D11" s="216"/>
    </row>
    <row r="12" spans="1:4" x14ac:dyDescent="0.3">
      <c r="A12" s="415" t="s">
        <v>796</v>
      </c>
      <c r="B12" s="544"/>
      <c r="C12" s="545"/>
      <c r="D12" s="252"/>
    </row>
    <row r="13" spans="1:4" x14ac:dyDescent="0.3">
      <c r="A13" s="546"/>
      <c r="B13" s="368"/>
      <c r="C13" s="368" t="s">
        <v>797</v>
      </c>
      <c r="D13" s="260">
        <f>SUM(Software!H50:H58)</f>
        <v>0</v>
      </c>
    </row>
    <row r="14" spans="1:4" x14ac:dyDescent="0.3">
      <c r="A14" s="546"/>
      <c r="B14" s="368"/>
      <c r="C14" s="368" t="s">
        <v>798</v>
      </c>
      <c r="D14" s="260">
        <f>SUM(Software!H59:H63)</f>
        <v>0</v>
      </c>
    </row>
    <row r="15" spans="1:4" ht="14.4" thickBot="1" x14ac:dyDescent="0.35">
      <c r="A15" s="546"/>
      <c r="B15" s="368"/>
      <c r="C15" s="368" t="s">
        <v>799</v>
      </c>
      <c r="D15" s="260">
        <f>Software!H64</f>
        <v>0</v>
      </c>
    </row>
    <row r="16" spans="1:4" ht="14.4" thickBot="1" x14ac:dyDescent="0.35">
      <c r="A16" s="547" t="s">
        <v>838</v>
      </c>
      <c r="B16" s="548"/>
      <c r="C16" s="549"/>
      <c r="D16" s="259">
        <f>SUM(D13:D15)</f>
        <v>0</v>
      </c>
    </row>
    <row r="17" spans="1:4" ht="14.4" thickBot="1" x14ac:dyDescent="0.35">
      <c r="A17" s="216"/>
      <c r="B17" s="216"/>
      <c r="C17" s="216"/>
      <c r="D17" s="216"/>
    </row>
    <row r="18" spans="1:4" x14ac:dyDescent="0.3">
      <c r="A18" s="415" t="s">
        <v>605</v>
      </c>
      <c r="B18" s="544"/>
      <c r="C18" s="545"/>
      <c r="D18" s="252"/>
    </row>
    <row r="19" spans="1:4" x14ac:dyDescent="0.3">
      <c r="A19" s="546"/>
      <c r="B19" s="368"/>
      <c r="C19" s="368" t="s">
        <v>800</v>
      </c>
      <c r="D19" s="260">
        <f>Software!H66</f>
        <v>0</v>
      </c>
    </row>
    <row r="20" spans="1:4" x14ac:dyDescent="0.3">
      <c r="A20" s="546"/>
      <c r="B20" s="368"/>
      <c r="C20" s="368" t="s">
        <v>801</v>
      </c>
      <c r="D20" s="260">
        <f>Software!H67</f>
        <v>0</v>
      </c>
    </row>
    <row r="21" spans="1:4" x14ac:dyDescent="0.3">
      <c r="A21" s="546"/>
      <c r="B21" s="368"/>
      <c r="C21" s="368" t="s">
        <v>802</v>
      </c>
      <c r="D21" s="260">
        <f>Software!H68</f>
        <v>0</v>
      </c>
    </row>
    <row r="22" spans="1:4" x14ac:dyDescent="0.3">
      <c r="A22" s="546"/>
      <c r="B22" s="368"/>
      <c r="C22" s="368" t="s">
        <v>803</v>
      </c>
      <c r="D22" s="260">
        <f>Software!H69</f>
        <v>0</v>
      </c>
    </row>
    <row r="23" spans="1:4" x14ac:dyDescent="0.3">
      <c r="A23" s="546"/>
      <c r="B23" s="368"/>
      <c r="C23" s="368" t="s">
        <v>804</v>
      </c>
      <c r="D23" s="260">
        <f>Software!H70</f>
        <v>0</v>
      </c>
    </row>
    <row r="24" spans="1:4" x14ac:dyDescent="0.3">
      <c r="A24" s="546"/>
      <c r="B24" s="368"/>
      <c r="C24" s="368" t="s">
        <v>805</v>
      </c>
      <c r="D24" s="260">
        <f>Software!H71</f>
        <v>0</v>
      </c>
    </row>
    <row r="25" spans="1:4" x14ac:dyDescent="0.3">
      <c r="A25" s="546"/>
      <c r="B25" s="368"/>
      <c r="C25" s="368" t="s">
        <v>605</v>
      </c>
      <c r="D25" s="260">
        <f>Software!H72</f>
        <v>0</v>
      </c>
    </row>
    <row r="26" spans="1:4" ht="14.4" thickBot="1" x14ac:dyDescent="0.35">
      <c r="A26" s="546"/>
      <c r="B26" s="368"/>
      <c r="C26" s="368" t="s">
        <v>806</v>
      </c>
      <c r="D26" s="260">
        <f>Software!H73</f>
        <v>0</v>
      </c>
    </row>
    <row r="27" spans="1:4" ht="14.4" thickBot="1" x14ac:dyDescent="0.35">
      <c r="A27" s="547" t="s">
        <v>831</v>
      </c>
      <c r="B27" s="548"/>
      <c r="C27" s="550"/>
      <c r="D27" s="259">
        <f>SUM(D19:D26)</f>
        <v>0</v>
      </c>
    </row>
    <row r="28" spans="1:4" ht="14.4" thickBot="1" x14ac:dyDescent="0.35">
      <c r="A28" s="216"/>
      <c r="B28" s="216"/>
      <c r="C28" s="216"/>
      <c r="D28" s="216"/>
    </row>
    <row r="29" spans="1:4" x14ac:dyDescent="0.3">
      <c r="A29" s="415" t="s">
        <v>606</v>
      </c>
      <c r="B29" s="544"/>
      <c r="C29" s="545"/>
      <c r="D29" s="252"/>
    </row>
    <row r="30" spans="1:4" x14ac:dyDescent="0.3">
      <c r="A30" s="546"/>
      <c r="B30" s="368"/>
      <c r="C30" s="368" t="s">
        <v>807</v>
      </c>
      <c r="D30" s="260">
        <f>Software!H75</f>
        <v>0</v>
      </c>
    </row>
    <row r="31" spans="1:4" x14ac:dyDescent="0.3">
      <c r="A31" s="546"/>
      <c r="B31" s="368"/>
      <c r="C31" s="368" t="s">
        <v>808</v>
      </c>
      <c r="D31" s="260">
        <f>Software!H76</f>
        <v>0</v>
      </c>
    </row>
    <row r="32" spans="1:4" x14ac:dyDescent="0.3">
      <c r="A32" s="546"/>
      <c r="B32" s="368"/>
      <c r="C32" s="368" t="s">
        <v>809</v>
      </c>
      <c r="D32" s="260">
        <f>Software!H77</f>
        <v>0</v>
      </c>
    </row>
    <row r="33" spans="1:4" x14ac:dyDescent="0.3">
      <c r="A33" s="546"/>
      <c r="B33" s="368"/>
      <c r="C33" s="368" t="s">
        <v>810</v>
      </c>
      <c r="D33" s="260">
        <f>Software!H78</f>
        <v>0</v>
      </c>
    </row>
    <row r="34" spans="1:4" ht="14.4" thickBot="1" x14ac:dyDescent="0.35">
      <c r="A34" s="546"/>
      <c r="B34" s="368"/>
      <c r="C34" s="368" t="s">
        <v>811</v>
      </c>
      <c r="D34" s="260">
        <f>SUM(Software!H79:H80)</f>
        <v>0</v>
      </c>
    </row>
    <row r="35" spans="1:4" ht="14.4" thickBot="1" x14ac:dyDescent="0.35">
      <c r="A35" s="547" t="s">
        <v>832</v>
      </c>
      <c r="B35" s="548"/>
      <c r="C35" s="550"/>
      <c r="D35" s="259">
        <f>SUM(D30:D34)</f>
        <v>0</v>
      </c>
    </row>
    <row r="36" spans="1:4" ht="14.4" thickBot="1" x14ac:dyDescent="0.35">
      <c r="A36" s="216"/>
      <c r="B36" s="216"/>
      <c r="C36" s="216"/>
      <c r="D36" s="216"/>
    </row>
    <row r="37" spans="1:4" ht="14.4" thickBot="1" x14ac:dyDescent="0.35">
      <c r="A37" s="418" t="s">
        <v>812</v>
      </c>
      <c r="B37" s="261">
        <f>Software!F35</f>
        <v>0</v>
      </c>
      <c r="C37" s="419" t="s">
        <v>813</v>
      </c>
      <c r="D37" s="262"/>
    </row>
    <row r="38" spans="1:4" ht="14.4" thickBot="1" x14ac:dyDescent="0.35">
      <c r="A38" s="547" t="s">
        <v>833</v>
      </c>
      <c r="B38" s="548"/>
      <c r="C38" s="550"/>
      <c r="D38" s="263">
        <f>Software!H87</f>
        <v>0</v>
      </c>
    </row>
    <row r="39" spans="1:4" ht="14.4" thickBot="1" x14ac:dyDescent="0.35">
      <c r="A39" s="216"/>
      <c r="B39" s="216"/>
      <c r="C39" s="216"/>
      <c r="D39" s="216"/>
    </row>
    <row r="40" spans="1:4" x14ac:dyDescent="0.3">
      <c r="A40" s="415" t="s">
        <v>268</v>
      </c>
      <c r="B40" s="544"/>
      <c r="C40" s="545"/>
      <c r="D40" s="252"/>
    </row>
    <row r="41" spans="1:4" x14ac:dyDescent="0.3">
      <c r="A41" s="546"/>
      <c r="B41" s="368"/>
      <c r="C41" s="633" t="s">
        <v>814</v>
      </c>
      <c r="D41" s="255">
        <f>SUM(Wireless!I4:I14)</f>
        <v>0</v>
      </c>
    </row>
    <row r="42" spans="1:4" x14ac:dyDescent="0.3">
      <c r="A42" s="546"/>
      <c r="B42" s="368"/>
      <c r="C42" s="633" t="s">
        <v>815</v>
      </c>
      <c r="D42" s="255">
        <f>SUM(Wireless!I15:I36)</f>
        <v>0</v>
      </c>
    </row>
    <row r="43" spans="1:4" x14ac:dyDescent="0.3">
      <c r="A43" s="546"/>
      <c r="B43" s="368"/>
      <c r="C43" s="633" t="s">
        <v>269</v>
      </c>
      <c r="D43" s="255">
        <f>SUM(Wireless!I37:I45)</f>
        <v>0</v>
      </c>
    </row>
    <row r="44" spans="1:4" ht="14.4" thickBot="1" x14ac:dyDescent="0.35">
      <c r="A44" s="551"/>
      <c r="B44" s="416"/>
      <c r="C44" s="634" t="s">
        <v>816</v>
      </c>
      <c r="D44" s="265">
        <f>Wireless!I66</f>
        <v>0</v>
      </c>
    </row>
    <row r="45" spans="1:4" ht="14.4" thickBot="1" x14ac:dyDescent="0.35">
      <c r="A45" s="547" t="s">
        <v>792</v>
      </c>
      <c r="B45" s="548"/>
      <c r="C45" s="549"/>
      <c r="D45" s="263">
        <f>SUM(D41:D44)</f>
        <v>0</v>
      </c>
    </row>
    <row r="46" spans="1:4" ht="14.4" thickBot="1" x14ac:dyDescent="0.35">
      <c r="A46" s="216"/>
      <c r="B46" s="216"/>
      <c r="C46" s="216"/>
      <c r="D46" s="216"/>
    </row>
    <row r="47" spans="1:4" x14ac:dyDescent="0.3">
      <c r="A47" s="415" t="s">
        <v>299</v>
      </c>
      <c r="B47" s="544"/>
      <c r="C47" s="545"/>
      <c r="D47" s="252"/>
    </row>
    <row r="48" spans="1:4" x14ac:dyDescent="0.3">
      <c r="A48" s="546"/>
      <c r="B48" s="368"/>
      <c r="C48" s="633" t="s">
        <v>672</v>
      </c>
      <c r="D48" s="255">
        <f>Warranty!F42</f>
        <v>0</v>
      </c>
    </row>
    <row r="49" spans="1:4" x14ac:dyDescent="0.3">
      <c r="A49" s="546"/>
      <c r="B49" s="368"/>
      <c r="C49" s="633" t="s">
        <v>817</v>
      </c>
      <c r="D49" s="255">
        <f>SUM('HW Maintenance'!E33:E43)</f>
        <v>0</v>
      </c>
    </row>
    <row r="50" spans="1:4" x14ac:dyDescent="0.3">
      <c r="A50" s="546"/>
      <c r="B50" s="368"/>
      <c r="C50" s="633" t="s">
        <v>818</v>
      </c>
      <c r="D50" s="255">
        <f>SUM('HW Maintenance'!E44:E54)</f>
        <v>0</v>
      </c>
    </row>
    <row r="51" spans="1:4" ht="14.4" thickBot="1" x14ac:dyDescent="0.35">
      <c r="A51" s="546"/>
      <c r="B51" s="368"/>
      <c r="C51" s="633" t="s">
        <v>819</v>
      </c>
      <c r="D51" s="255">
        <f>SUM('HW Maintenance'!E55:E65)</f>
        <v>0</v>
      </c>
    </row>
    <row r="52" spans="1:4" ht="14.4" thickBot="1" x14ac:dyDescent="0.35">
      <c r="A52" s="547" t="s">
        <v>791</v>
      </c>
      <c r="B52" s="548"/>
      <c r="C52" s="549"/>
      <c r="D52" s="263">
        <f>SUM(D48:D51)</f>
        <v>0</v>
      </c>
    </row>
    <row r="53" spans="1:4" ht="14.4" thickBot="1" x14ac:dyDescent="0.35">
      <c r="A53" s="216"/>
      <c r="B53" s="216"/>
      <c r="C53" s="216"/>
      <c r="D53" s="216"/>
    </row>
    <row r="54" spans="1:4" x14ac:dyDescent="0.3">
      <c r="A54" s="415" t="s">
        <v>300</v>
      </c>
      <c r="B54" s="544"/>
      <c r="C54" s="545"/>
      <c r="D54" s="252"/>
    </row>
    <row r="55" spans="1:4" x14ac:dyDescent="0.3">
      <c r="A55" s="546"/>
      <c r="B55" s="368"/>
      <c r="C55" s="414" t="s">
        <v>301</v>
      </c>
      <c r="D55" s="255">
        <f>Estos_XCAPI!G25</f>
        <v>0</v>
      </c>
    </row>
    <row r="56" spans="1:4" ht="14.4" thickBot="1" x14ac:dyDescent="0.35">
      <c r="A56" s="546"/>
      <c r="B56" s="368"/>
      <c r="C56" s="414" t="s">
        <v>199</v>
      </c>
      <c r="D56" s="255">
        <f>Estos_XCAPI!G34</f>
        <v>0</v>
      </c>
    </row>
    <row r="57" spans="1:4" ht="14.4" thickBot="1" x14ac:dyDescent="0.35">
      <c r="A57" s="547" t="s">
        <v>790</v>
      </c>
      <c r="B57" s="548"/>
      <c r="C57" s="549"/>
      <c r="D57" s="263">
        <f>SUM(D55:D56)</f>
        <v>0</v>
      </c>
    </row>
  </sheetData>
  <sheetProtection password="EE20" sheet="1" objects="1" scenarios="1"/>
  <pageMargins left="0.70866141732283472" right="0.70866141732283472" top="0.98425196850393704" bottom="0.59055118110236227" header="0.31496062992125984" footer="0.31496062992125984"/>
  <pageSetup paperSize="9" scale="93" orientation="portrait" r:id="rId1"/>
  <headerFooter>
    <oddHeader>&amp;R&amp;G</oddHeader>
    <oddFooter>&amp;C&amp;P</oddFooter>
  </headerFooter>
  <drawing r:id="rId2"/>
  <legacyDrawingHF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74"/>
  <sheetViews>
    <sheetView zoomScaleNormal="100" workbookViewId="0">
      <selection activeCell="G29" sqref="G29"/>
    </sheetView>
  </sheetViews>
  <sheetFormatPr baseColWidth="10" defaultColWidth="11.5546875" defaultRowHeight="13.8" x14ac:dyDescent="0.3"/>
  <cols>
    <col min="1" max="1" width="24.88671875" style="66" customWidth="1"/>
    <col min="2" max="2" width="2.6640625" style="66" customWidth="1"/>
    <col min="3" max="3" width="37.5546875" style="66" customWidth="1"/>
    <col min="4" max="4" width="16.33203125" style="66" customWidth="1"/>
    <col min="5" max="5" width="10.33203125" style="66" customWidth="1"/>
    <col min="6" max="6" width="17.33203125" style="66" customWidth="1"/>
    <col min="7" max="16384" width="11.5546875" style="66"/>
  </cols>
  <sheetData>
    <row r="1" spans="1:5" ht="45" customHeight="1" x14ac:dyDescent="0.3">
      <c r="A1" s="283"/>
      <c r="C1" s="283"/>
      <c r="E1" s="283"/>
    </row>
    <row r="2" spans="1:5" ht="23.4" x14ac:dyDescent="0.45">
      <c r="A2" s="266" t="s">
        <v>820</v>
      </c>
    </row>
    <row r="3" spans="1:5" ht="14.4" thickBot="1" x14ac:dyDescent="0.35"/>
    <row r="4" spans="1:5" x14ac:dyDescent="0.3">
      <c r="A4" s="671" t="s">
        <v>314</v>
      </c>
      <c r="B4" s="672"/>
      <c r="C4" s="287" t="str">
        <f>IF('Cover sheet'!B12&lt;&gt;"",'Cover sheet'!B12,"")</f>
        <v>Test AG</v>
      </c>
    </row>
    <row r="5" spans="1:5" x14ac:dyDescent="0.3">
      <c r="A5" s="673" t="s">
        <v>513</v>
      </c>
      <c r="B5" s="674"/>
      <c r="C5" s="288" t="str">
        <f>IF('Cover sheet'!B18&lt;&gt;"",'Cover sheet'!B18,"")</f>
        <v>ABC</v>
      </c>
    </row>
    <row r="6" spans="1:5" x14ac:dyDescent="0.3">
      <c r="A6" s="673" t="s">
        <v>514</v>
      </c>
      <c r="B6" s="674"/>
      <c r="C6" s="637">
        <f>IF('Cover sheet'!B23&lt;&gt;"",'Cover sheet'!B23,"")</f>
        <v>42795</v>
      </c>
    </row>
    <row r="7" spans="1:5" ht="14.4" thickBot="1" x14ac:dyDescent="0.35">
      <c r="A7" s="675" t="s">
        <v>821</v>
      </c>
      <c r="B7" s="676"/>
      <c r="C7" s="638" t="str">
        <f>IF('Cover sheet'!B25&lt;&gt;"",'Cover sheet'!B25,"")</f>
        <v/>
      </c>
    </row>
    <row r="8" spans="1:5" ht="14.4" thickBot="1" x14ac:dyDescent="0.35">
      <c r="A8" s="267"/>
      <c r="B8" s="268"/>
    </row>
    <row r="9" spans="1:5" x14ac:dyDescent="0.3">
      <c r="A9" s="635" t="s">
        <v>822</v>
      </c>
      <c r="B9" s="553"/>
      <c r="C9" s="554"/>
    </row>
    <row r="10" spans="1:5" x14ac:dyDescent="0.3">
      <c r="A10" s="667" t="s">
        <v>823</v>
      </c>
      <c r="B10" s="668"/>
      <c r="C10" s="269">
        <v>0</v>
      </c>
    </row>
    <row r="11" spans="1:5" x14ac:dyDescent="0.3">
      <c r="A11" s="667" t="s">
        <v>824</v>
      </c>
      <c r="B11" s="668"/>
      <c r="C11" s="269">
        <v>0.05</v>
      </c>
    </row>
    <row r="12" spans="1:5" x14ac:dyDescent="0.3">
      <c r="A12" s="667" t="s">
        <v>825</v>
      </c>
      <c r="B12" s="668"/>
      <c r="C12" s="269">
        <v>0.08</v>
      </c>
    </row>
    <row r="13" spans="1:5" x14ac:dyDescent="0.3">
      <c r="A13" s="642" t="s">
        <v>826</v>
      </c>
      <c r="B13" s="643"/>
      <c r="C13" s="269">
        <v>0.12</v>
      </c>
    </row>
    <row r="14" spans="1:5" x14ac:dyDescent="0.3">
      <c r="A14" s="642" t="s">
        <v>907</v>
      </c>
      <c r="B14" s="643"/>
      <c r="C14" s="269">
        <v>0</v>
      </c>
    </row>
    <row r="15" spans="1:5" x14ac:dyDescent="0.3">
      <c r="A15" s="642" t="s">
        <v>908</v>
      </c>
      <c r="B15" s="643"/>
      <c r="C15" s="269">
        <v>0</v>
      </c>
    </row>
    <row r="16" spans="1:5" ht="14.4" thickBot="1" x14ac:dyDescent="0.35">
      <c r="A16" s="669" t="s">
        <v>906</v>
      </c>
      <c r="B16" s="670"/>
      <c r="C16" s="270">
        <v>0</v>
      </c>
    </row>
    <row r="17" spans="1:6" ht="14.4" thickBot="1" x14ac:dyDescent="0.35"/>
    <row r="18" spans="1:6" ht="28.2" thickBot="1" x14ac:dyDescent="0.35">
      <c r="A18" s="555" t="s">
        <v>519</v>
      </c>
      <c r="B18" s="556"/>
      <c r="C18" s="556"/>
      <c r="D18" s="557" t="s">
        <v>827</v>
      </c>
      <c r="E18" s="636" t="s">
        <v>828</v>
      </c>
      <c r="F18" s="561" t="s">
        <v>829</v>
      </c>
    </row>
    <row r="19" spans="1:6" x14ac:dyDescent="0.3">
      <c r="A19" s="417" t="str">
        <f>Overview!A4</f>
        <v>Hardware</v>
      </c>
      <c r="B19" s="558"/>
      <c r="C19" s="368"/>
      <c r="D19" s="559"/>
      <c r="E19" s="410"/>
      <c r="F19" s="301"/>
    </row>
    <row r="20" spans="1:6" x14ac:dyDescent="0.3">
      <c r="A20" s="546"/>
      <c r="B20" s="368"/>
      <c r="C20" s="368" t="str">
        <f>Overview!C5</f>
        <v>Gateways (incl. Accessories, w/o interfaces)</v>
      </c>
      <c r="D20" s="299">
        <f>Overview!D5</f>
        <v>0</v>
      </c>
      <c r="E20" s="411">
        <v>0</v>
      </c>
      <c r="F20" s="255">
        <f>D20-(D20*E20)</f>
        <v>0</v>
      </c>
    </row>
    <row r="21" spans="1:6" x14ac:dyDescent="0.3">
      <c r="A21" s="546"/>
      <c r="B21" s="368"/>
      <c r="C21" s="368" t="str">
        <f>Overview!C6</f>
        <v xml:space="preserve">PRI, BRI and Channel Licenses </v>
      </c>
      <c r="D21" s="299">
        <f>Overview!D6</f>
        <v>0</v>
      </c>
      <c r="E21" s="411">
        <v>0</v>
      </c>
      <c r="F21" s="255">
        <f>D21-(D21*E21)</f>
        <v>0</v>
      </c>
    </row>
    <row r="22" spans="1:6" x14ac:dyDescent="0.3">
      <c r="A22" s="546"/>
      <c r="B22" s="368"/>
      <c r="C22" s="368" t="str">
        <f>Overview!C7</f>
        <v>IP Phones (incl. Accessories)</v>
      </c>
      <c r="D22" s="299">
        <f>Overview!D7</f>
        <v>0</v>
      </c>
      <c r="E22" s="411"/>
      <c r="F22" s="255">
        <f t="shared" ref="F22:F24" si="0">D22-(D22*E22)</f>
        <v>0</v>
      </c>
    </row>
    <row r="23" spans="1:6" x14ac:dyDescent="0.3">
      <c r="A23" s="546"/>
      <c r="B23" s="368"/>
      <c r="C23" s="368" t="str">
        <f>Overview!C8</f>
        <v>Analogue Adapter (incl. Accessories)</v>
      </c>
      <c r="D23" s="299">
        <f>Overview!D8</f>
        <v>0</v>
      </c>
      <c r="E23" s="411"/>
      <c r="F23" s="255">
        <f t="shared" si="0"/>
        <v>0</v>
      </c>
    </row>
    <row r="24" spans="1:6" ht="14.4" thickBot="1" x14ac:dyDescent="0.35">
      <c r="A24" s="546"/>
      <c r="B24" s="368"/>
      <c r="C24" s="368" t="str">
        <f>Overview!C9</f>
        <v>Power Supply (PSU, PoE Adapter, Power coord)</v>
      </c>
      <c r="D24" s="299">
        <f>Overview!D9</f>
        <v>0</v>
      </c>
      <c r="E24" s="411"/>
      <c r="F24" s="255">
        <f t="shared" si="0"/>
        <v>0</v>
      </c>
    </row>
    <row r="25" spans="1:6" ht="14.4" thickBot="1" x14ac:dyDescent="0.35">
      <c r="A25" s="547" t="str">
        <f>Overview!A10</f>
        <v>Total Hardware</v>
      </c>
      <c r="B25" s="548"/>
      <c r="C25" s="549"/>
      <c r="D25" s="300">
        <f>SUM(D20:D24)</f>
        <v>0</v>
      </c>
      <c r="E25" s="275"/>
      <c r="F25" s="259">
        <f>SUM(F20:F24)</f>
        <v>0</v>
      </c>
    </row>
    <row r="26" spans="1:6" x14ac:dyDescent="0.3">
      <c r="A26" s="415" t="str">
        <f>Overview!A12</f>
        <v>PBX Licenses</v>
      </c>
      <c r="B26" s="544"/>
      <c r="C26" s="545"/>
      <c r="D26" s="303"/>
      <c r="E26" s="410"/>
      <c r="F26" s="301"/>
    </row>
    <row r="27" spans="1:6" x14ac:dyDescent="0.3">
      <c r="A27" s="546"/>
      <c r="B27" s="368"/>
      <c r="C27" s="368" t="str">
        <f>Overview!C13</f>
        <v>PBX Port Licenses</v>
      </c>
      <c r="D27" s="302">
        <f>Overview!D13</f>
        <v>0</v>
      </c>
      <c r="E27" s="411"/>
      <c r="F27" s="255">
        <f t="shared" ref="F27:F71" si="1">D27-(D27*E27)</f>
        <v>0</v>
      </c>
    </row>
    <row r="28" spans="1:6" x14ac:dyDescent="0.3">
      <c r="A28" s="546"/>
      <c r="B28" s="368"/>
      <c r="C28" s="368" t="str">
        <f>Overview!C14</f>
        <v>Standby Licenses</v>
      </c>
      <c r="D28" s="302">
        <f>Overview!D14</f>
        <v>0</v>
      </c>
      <c r="E28" s="411"/>
      <c r="F28" s="255">
        <f t="shared" si="1"/>
        <v>0</v>
      </c>
    </row>
    <row r="29" spans="1:6" ht="14.4" thickBot="1" x14ac:dyDescent="0.35">
      <c r="A29" s="546"/>
      <c r="B29" s="368"/>
      <c r="C29" s="368" t="str">
        <f>Overview!C15</f>
        <v>IPVA Licenses</v>
      </c>
      <c r="D29" s="302">
        <f>Overview!D15</f>
        <v>0</v>
      </c>
      <c r="E29" s="411"/>
      <c r="F29" s="255">
        <f t="shared" si="1"/>
        <v>0</v>
      </c>
    </row>
    <row r="30" spans="1:6" ht="14.4" thickBot="1" x14ac:dyDescent="0.35">
      <c r="A30" s="547" t="str">
        <f>Overview!A16</f>
        <v>Total PBX Licenses</v>
      </c>
      <c r="B30" s="548"/>
      <c r="C30" s="549"/>
      <c r="D30" s="300">
        <f>SUM(D27:D29)</f>
        <v>0</v>
      </c>
      <c r="E30" s="275"/>
      <c r="F30" s="259">
        <f>SUM(F27:F29)</f>
        <v>0</v>
      </c>
    </row>
    <row r="31" spans="1:6" x14ac:dyDescent="0.3">
      <c r="A31" s="415" t="str">
        <f>Overview!A18</f>
        <v>UC Licenses</v>
      </c>
      <c r="B31" s="544"/>
      <c r="C31" s="545"/>
      <c r="D31" s="303"/>
      <c r="E31" s="412"/>
      <c r="F31" s="255"/>
    </row>
    <row r="32" spans="1:6" x14ac:dyDescent="0.3">
      <c r="A32" s="546"/>
      <c r="B32" s="368"/>
      <c r="C32" s="368" t="str">
        <f>Overview!C19</f>
        <v>Voicemail Licenses</v>
      </c>
      <c r="D32" s="302">
        <f>Overview!D19</f>
        <v>0</v>
      </c>
      <c r="E32" s="411"/>
      <c r="F32" s="255">
        <f t="shared" si="1"/>
        <v>0</v>
      </c>
    </row>
    <row r="33" spans="1:6" x14ac:dyDescent="0.3">
      <c r="A33" s="546"/>
      <c r="B33" s="368"/>
      <c r="C33" s="368" t="str">
        <f>Overview!C20</f>
        <v>myPBX Licenses</v>
      </c>
      <c r="D33" s="302">
        <f>Overview!D20</f>
        <v>0</v>
      </c>
      <c r="E33" s="411"/>
      <c r="F33" s="255">
        <f t="shared" si="1"/>
        <v>0</v>
      </c>
    </row>
    <row r="34" spans="1:6" x14ac:dyDescent="0.3">
      <c r="A34" s="546"/>
      <c r="B34" s="368"/>
      <c r="C34" s="368" t="str">
        <f>Overview!C21</f>
        <v>Video Licenses</v>
      </c>
      <c r="D34" s="302">
        <f>Overview!D21</f>
        <v>0</v>
      </c>
      <c r="E34" s="411"/>
      <c r="F34" s="255">
        <f t="shared" si="1"/>
        <v>0</v>
      </c>
    </row>
    <row r="35" spans="1:6" x14ac:dyDescent="0.3">
      <c r="A35" s="546"/>
      <c r="B35" s="368"/>
      <c r="C35" s="368" t="str">
        <f>Overview!C22</f>
        <v>Mobility Licenses</v>
      </c>
      <c r="D35" s="302">
        <f>Overview!D22</f>
        <v>0</v>
      </c>
      <c r="E35" s="411"/>
      <c r="F35" s="255">
        <f t="shared" si="1"/>
        <v>0</v>
      </c>
    </row>
    <row r="36" spans="1:6" x14ac:dyDescent="0.3">
      <c r="A36" s="546"/>
      <c r="B36" s="368"/>
      <c r="C36" s="368" t="str">
        <f>Overview!C23</f>
        <v>Fax Licenses</v>
      </c>
      <c r="D36" s="302">
        <f>Overview!D23</f>
        <v>0</v>
      </c>
      <c r="E36" s="411"/>
      <c r="F36" s="255">
        <f t="shared" si="1"/>
        <v>0</v>
      </c>
    </row>
    <row r="37" spans="1:6" x14ac:dyDescent="0.3">
      <c r="A37" s="546"/>
      <c r="B37" s="368"/>
      <c r="C37" s="368" t="str">
        <f>Overview!C24</f>
        <v>Application Sharing Licenses</v>
      </c>
      <c r="D37" s="302">
        <f>Overview!D24</f>
        <v>0</v>
      </c>
      <c r="E37" s="411"/>
      <c r="F37" s="255">
        <f t="shared" si="1"/>
        <v>0</v>
      </c>
    </row>
    <row r="38" spans="1:6" x14ac:dyDescent="0.3">
      <c r="A38" s="546"/>
      <c r="B38" s="368"/>
      <c r="C38" s="368" t="str">
        <f>Overview!C25</f>
        <v>UC Licenses</v>
      </c>
      <c r="D38" s="302">
        <f>Overview!D25</f>
        <v>0</v>
      </c>
      <c r="E38" s="411"/>
      <c r="F38" s="255">
        <f t="shared" si="1"/>
        <v>0</v>
      </c>
    </row>
    <row r="39" spans="1:6" ht="14.4" thickBot="1" x14ac:dyDescent="0.35">
      <c r="A39" s="546"/>
      <c r="B39" s="368"/>
      <c r="C39" s="368" t="str">
        <f>Overview!C26</f>
        <v>WebRTC Channel-Licenses</v>
      </c>
      <c r="D39" s="302">
        <f>Overview!D26</f>
        <v>0</v>
      </c>
      <c r="E39" s="411"/>
      <c r="F39" s="255">
        <f t="shared" ref="F39" si="2">D39-(D39*E39)</f>
        <v>0</v>
      </c>
    </row>
    <row r="40" spans="1:6" ht="14.4" thickBot="1" x14ac:dyDescent="0.35">
      <c r="A40" s="547" t="str">
        <f>Overview!A27</f>
        <v>Total UC Licenses</v>
      </c>
      <c r="B40" s="548"/>
      <c r="C40" s="550"/>
      <c r="D40" s="300">
        <f>SUM(D32:D39)</f>
        <v>0</v>
      </c>
      <c r="E40" s="275"/>
      <c r="F40" s="259">
        <f>SUM(F32:F39)</f>
        <v>0</v>
      </c>
    </row>
    <row r="41" spans="1:6" x14ac:dyDescent="0.3">
      <c r="A41" s="415" t="str">
        <f>Overview!A29</f>
        <v>Application Licenses</v>
      </c>
      <c r="B41" s="544"/>
      <c r="C41" s="545"/>
      <c r="D41" s="303"/>
      <c r="E41" s="412"/>
      <c r="F41" s="255"/>
    </row>
    <row r="42" spans="1:6" x14ac:dyDescent="0.3">
      <c r="A42" s="546"/>
      <c r="B42" s="368"/>
      <c r="C42" s="368" t="str">
        <f>Overview!C30</f>
        <v>Softwarephone Licenses</v>
      </c>
      <c r="D42" s="302">
        <f>Overview!D30</f>
        <v>0</v>
      </c>
      <c r="E42" s="411"/>
      <c r="F42" s="255">
        <f t="shared" si="1"/>
        <v>0</v>
      </c>
    </row>
    <row r="43" spans="1:6" x14ac:dyDescent="0.3">
      <c r="A43" s="546"/>
      <c r="B43" s="368"/>
      <c r="C43" s="368" t="str">
        <f>Overview!C31</f>
        <v>Queue Monitor Licenses</v>
      </c>
      <c r="D43" s="302">
        <f>Overview!D31</f>
        <v>0</v>
      </c>
      <c r="E43" s="411"/>
      <c r="F43" s="255">
        <f t="shared" si="1"/>
        <v>0</v>
      </c>
    </row>
    <row r="44" spans="1:6" x14ac:dyDescent="0.3">
      <c r="A44" s="546"/>
      <c r="B44" s="368"/>
      <c r="C44" s="368" t="str">
        <f>Overview!C32</f>
        <v>Operator Licenses</v>
      </c>
      <c r="D44" s="302">
        <f>Overview!D32</f>
        <v>0</v>
      </c>
      <c r="E44" s="411"/>
      <c r="F44" s="255">
        <f t="shared" si="1"/>
        <v>0</v>
      </c>
    </row>
    <row r="45" spans="1:6" x14ac:dyDescent="0.3">
      <c r="A45" s="546"/>
      <c r="B45" s="368"/>
      <c r="C45" s="368" t="str">
        <f>Overview!C33</f>
        <v>Reporting Licenses</v>
      </c>
      <c r="D45" s="302">
        <f>Overview!D33</f>
        <v>0</v>
      </c>
      <c r="E45" s="411"/>
      <c r="F45" s="255">
        <f t="shared" ref="F45:F46" si="3">D45-(D45*E45)</f>
        <v>0</v>
      </c>
    </row>
    <row r="46" spans="1:6" ht="14.4" thickBot="1" x14ac:dyDescent="0.35">
      <c r="A46" s="546"/>
      <c r="B46" s="368"/>
      <c r="C46" s="368" t="str">
        <f>Overview!C34</f>
        <v>VoiceRecording Licenses</v>
      </c>
      <c r="D46" s="302">
        <f>Overview!D34</f>
        <v>0</v>
      </c>
      <c r="E46" s="411"/>
      <c r="F46" s="255">
        <f t="shared" si="3"/>
        <v>0</v>
      </c>
    </row>
    <row r="47" spans="1:6" ht="14.4" thickBot="1" x14ac:dyDescent="0.35">
      <c r="A47" s="547" t="str">
        <f>Overview!A35</f>
        <v>Total Application Licenses</v>
      </c>
      <c r="B47" s="548"/>
      <c r="C47" s="550"/>
      <c r="D47" s="300">
        <f>SUM(D42:D46)</f>
        <v>0</v>
      </c>
      <c r="E47" s="275"/>
      <c r="F47" s="259">
        <f>SUM(F42:F46)</f>
        <v>0</v>
      </c>
    </row>
    <row r="48" spans="1:6" ht="14.4" thickBot="1" x14ac:dyDescent="0.35">
      <c r="A48" s="418" t="str">
        <f>Overview!A37</f>
        <v>Software Service for</v>
      </c>
      <c r="B48" s="261">
        <f>Overview!B37</f>
        <v>0</v>
      </c>
      <c r="C48" s="419" t="str">
        <f>Overview!C37</f>
        <v>year[s]</v>
      </c>
      <c r="D48" s="304">
        <f>Overview!D38</f>
        <v>0</v>
      </c>
      <c r="E48" s="411"/>
      <c r="F48" s="304">
        <f>D49-(D49*E48)</f>
        <v>0</v>
      </c>
    </row>
    <row r="49" spans="1:6" ht="14.4" thickBot="1" x14ac:dyDescent="0.35">
      <c r="A49" s="547" t="str">
        <f>Overview!A38</f>
        <v>Total Software Service</v>
      </c>
      <c r="B49" s="548"/>
      <c r="C49" s="550"/>
      <c r="D49" s="305">
        <f>Overview!D38</f>
        <v>0</v>
      </c>
      <c r="E49" s="275"/>
      <c r="F49" s="259">
        <f>D49-(D49*E48)</f>
        <v>0</v>
      </c>
    </row>
    <row r="50" spans="1:6" x14ac:dyDescent="0.3">
      <c r="A50" s="415" t="str">
        <f>Overview!A40</f>
        <v>Wireless</v>
      </c>
      <c r="B50" s="544"/>
      <c r="C50" s="545"/>
      <c r="D50" s="303"/>
      <c r="E50" s="412"/>
      <c r="F50" s="255"/>
    </row>
    <row r="51" spans="1:6" x14ac:dyDescent="0.3">
      <c r="A51" s="546"/>
      <c r="B51" s="368"/>
      <c r="C51" s="414" t="str">
        <f>Overview!C41</f>
        <v>IP DECT Base stations (incl. Accessories)</v>
      </c>
      <c r="D51" s="299">
        <f>Overview!D41</f>
        <v>0</v>
      </c>
      <c r="E51" s="411"/>
      <c r="F51" s="255">
        <f t="shared" si="1"/>
        <v>0</v>
      </c>
    </row>
    <row r="52" spans="1:6" x14ac:dyDescent="0.3">
      <c r="A52" s="546"/>
      <c r="B52" s="368"/>
      <c r="C52" s="414" t="str">
        <f>Overview!C42</f>
        <v>IP DECT Handsets ((incl. Accessories)</v>
      </c>
      <c r="D52" s="299">
        <f>Overview!D42</f>
        <v>0</v>
      </c>
      <c r="E52" s="411"/>
      <c r="F52" s="255">
        <f t="shared" si="1"/>
        <v>0</v>
      </c>
    </row>
    <row r="53" spans="1:6" x14ac:dyDescent="0.3">
      <c r="A53" s="546"/>
      <c r="B53" s="368"/>
      <c r="C53" s="414" t="str">
        <f>Overview!C43</f>
        <v>Special DECT Handsets (IP81)</v>
      </c>
      <c r="D53" s="299">
        <f>Overview!D43</f>
        <v>0</v>
      </c>
      <c r="E53" s="411"/>
      <c r="F53" s="255">
        <f t="shared" si="1"/>
        <v>0</v>
      </c>
    </row>
    <row r="54" spans="1:6" ht="14.4" thickBot="1" x14ac:dyDescent="0.35">
      <c r="A54" s="551"/>
      <c r="B54" s="416"/>
      <c r="C54" s="416" t="str">
        <f>Overview!C44</f>
        <v>WLAN Phone + Accessories</v>
      </c>
      <c r="D54" s="306">
        <f>Overview!D44</f>
        <v>0</v>
      </c>
      <c r="E54" s="413"/>
      <c r="F54" s="265">
        <f t="shared" si="1"/>
        <v>0</v>
      </c>
    </row>
    <row r="55" spans="1:6" ht="14.4" thickBot="1" x14ac:dyDescent="0.35">
      <c r="A55" s="547" t="str">
        <f>Overview!A45</f>
        <v>Total Wireless</v>
      </c>
      <c r="B55" s="548"/>
      <c r="C55" s="549"/>
      <c r="D55" s="305">
        <f>SUM(D51:D54)</f>
        <v>0</v>
      </c>
      <c r="E55" s="275"/>
      <c r="F55" s="259">
        <f>SUM(F51:F54)</f>
        <v>0</v>
      </c>
    </row>
    <row r="56" spans="1:6" x14ac:dyDescent="0.3">
      <c r="A56" s="415" t="str">
        <f>Overview!A47</f>
        <v>Service</v>
      </c>
      <c r="B56" s="544"/>
      <c r="C56" s="545"/>
      <c r="D56" s="303"/>
      <c r="E56" s="412"/>
      <c r="F56" s="255"/>
    </row>
    <row r="57" spans="1:6" x14ac:dyDescent="0.3">
      <c r="A57" s="546"/>
      <c r="B57" s="368"/>
      <c r="C57" s="414" t="str">
        <f>Overview!C48</f>
        <v>Warranty Extensions</v>
      </c>
      <c r="D57" s="299">
        <f>Overview!D48</f>
        <v>0</v>
      </c>
      <c r="E57" s="411"/>
      <c r="F57" s="255">
        <f t="shared" si="1"/>
        <v>0</v>
      </c>
    </row>
    <row r="58" spans="1:6" x14ac:dyDescent="0.3">
      <c r="A58" s="546"/>
      <c r="B58" s="368"/>
      <c r="C58" s="414" t="str">
        <f>Overview!C49</f>
        <v>Silver Maintenance</v>
      </c>
      <c r="D58" s="299">
        <f>Overview!D49</f>
        <v>0</v>
      </c>
      <c r="E58" s="411"/>
      <c r="F58" s="255">
        <f t="shared" si="1"/>
        <v>0</v>
      </c>
    </row>
    <row r="59" spans="1:6" x14ac:dyDescent="0.3">
      <c r="A59" s="546"/>
      <c r="B59" s="368"/>
      <c r="C59" s="414" t="str">
        <f>Overview!C50</f>
        <v>Gold Maintenance</v>
      </c>
      <c r="D59" s="299">
        <f>Overview!D50</f>
        <v>0</v>
      </c>
      <c r="E59" s="411"/>
      <c r="F59" s="255">
        <f t="shared" si="1"/>
        <v>0</v>
      </c>
    </row>
    <row r="60" spans="1:6" ht="14.4" thickBot="1" x14ac:dyDescent="0.35">
      <c r="A60" s="546"/>
      <c r="B60" s="368"/>
      <c r="C60" s="414" t="str">
        <f>Overview!C51</f>
        <v>Gold onsite Maintenance</v>
      </c>
      <c r="D60" s="299">
        <f>Overview!D51</f>
        <v>0</v>
      </c>
      <c r="E60" s="411"/>
      <c r="F60" s="255">
        <f t="shared" si="1"/>
        <v>0</v>
      </c>
    </row>
    <row r="61" spans="1:6" ht="14.4" thickBot="1" x14ac:dyDescent="0.35">
      <c r="A61" s="547" t="str">
        <f>Overview!A52</f>
        <v>Total Service</v>
      </c>
      <c r="B61" s="548"/>
      <c r="C61" s="549"/>
      <c r="D61" s="305">
        <f>SUM(D57:D60)</f>
        <v>0</v>
      </c>
      <c r="E61" s="275"/>
      <c r="F61" s="259">
        <f>SUM(F57:F60)</f>
        <v>0</v>
      </c>
    </row>
    <row r="62" spans="1:6" x14ac:dyDescent="0.3">
      <c r="A62" s="415" t="str">
        <f>Overview!A54</f>
        <v>Third Party</v>
      </c>
      <c r="B62" s="544"/>
      <c r="C62" s="545"/>
      <c r="D62" s="303"/>
      <c r="E62" s="412"/>
      <c r="F62" s="255"/>
    </row>
    <row r="63" spans="1:6" x14ac:dyDescent="0.3">
      <c r="A63" s="546"/>
      <c r="B63" s="368"/>
      <c r="C63" s="414" t="str">
        <f>Overview!C55</f>
        <v>Estos</v>
      </c>
      <c r="D63" s="299">
        <f>Overview!D55</f>
        <v>0</v>
      </c>
      <c r="E63" s="411"/>
      <c r="F63" s="255">
        <f t="shared" si="1"/>
        <v>0</v>
      </c>
    </row>
    <row r="64" spans="1:6" ht="14.4" thickBot="1" x14ac:dyDescent="0.35">
      <c r="A64" s="546"/>
      <c r="B64" s="368"/>
      <c r="C64" s="414" t="str">
        <f>Overview!C56</f>
        <v>XCAPI</v>
      </c>
      <c r="D64" s="299">
        <f>Overview!D56</f>
        <v>0</v>
      </c>
      <c r="E64" s="411"/>
      <c r="F64" s="255">
        <f t="shared" si="1"/>
        <v>0</v>
      </c>
    </row>
    <row r="65" spans="1:6" ht="14.4" thickBot="1" x14ac:dyDescent="0.35">
      <c r="A65" s="547" t="str">
        <f>Overview!A57</f>
        <v>Total 3rd Party</v>
      </c>
      <c r="B65" s="548"/>
      <c r="C65" s="549"/>
      <c r="D65" s="305">
        <f>SUM(D63:D64)</f>
        <v>0</v>
      </c>
      <c r="E65" s="275"/>
      <c r="F65" s="259">
        <f>SUM(F63:F64)</f>
        <v>0</v>
      </c>
    </row>
    <row r="66" spans="1:6" x14ac:dyDescent="0.3">
      <c r="A66" s="249" t="s">
        <v>834</v>
      </c>
      <c r="B66" s="250"/>
      <c r="C66" s="251"/>
      <c r="D66" s="303"/>
      <c r="E66" s="411"/>
      <c r="F66" s="255"/>
    </row>
    <row r="67" spans="1:6" x14ac:dyDescent="0.3">
      <c r="A67" s="272"/>
      <c r="B67" s="273"/>
      <c r="C67" s="254" t="s">
        <v>835</v>
      </c>
      <c r="D67" s="274">
        <v>0</v>
      </c>
      <c r="E67" s="411"/>
      <c r="F67" s="255">
        <f t="shared" si="1"/>
        <v>0</v>
      </c>
    </row>
    <row r="68" spans="1:6" x14ac:dyDescent="0.3">
      <c r="A68" s="272"/>
      <c r="B68" s="273"/>
      <c r="C68" s="254" t="s">
        <v>836</v>
      </c>
      <c r="D68" s="274">
        <v>0</v>
      </c>
      <c r="E68" s="411"/>
      <c r="F68" s="255">
        <f t="shared" si="1"/>
        <v>0</v>
      </c>
    </row>
    <row r="69" spans="1:6" x14ac:dyDescent="0.3">
      <c r="A69" s="272"/>
      <c r="B69" s="273"/>
      <c r="C69" s="254" t="s">
        <v>315</v>
      </c>
      <c r="D69" s="274">
        <v>0</v>
      </c>
      <c r="E69" s="411"/>
      <c r="F69" s="255">
        <f t="shared" si="1"/>
        <v>0</v>
      </c>
    </row>
    <row r="70" spans="1:6" x14ac:dyDescent="0.3">
      <c r="A70" s="253"/>
      <c r="B70" s="254"/>
      <c r="C70" s="264"/>
      <c r="D70" s="274"/>
      <c r="E70" s="411"/>
      <c r="F70" s="255">
        <f t="shared" si="1"/>
        <v>0</v>
      </c>
    </row>
    <row r="71" spans="1:6" ht="14.4" thickBot="1" x14ac:dyDescent="0.35">
      <c r="A71" s="253"/>
      <c r="B71" s="254"/>
      <c r="C71" s="264"/>
      <c r="D71" s="274"/>
      <c r="E71" s="411"/>
      <c r="F71" s="255">
        <f t="shared" si="1"/>
        <v>0</v>
      </c>
    </row>
    <row r="72" spans="1:6" ht="14.4" thickBot="1" x14ac:dyDescent="0.35">
      <c r="A72" s="256" t="s">
        <v>837</v>
      </c>
      <c r="B72" s="257"/>
      <c r="C72" s="258"/>
      <c r="D72" s="305">
        <f>SUM(D66:D71)</f>
        <v>0</v>
      </c>
      <c r="E72" s="364"/>
      <c r="F72" s="259">
        <f>SUM(F66:F71)</f>
        <v>0</v>
      </c>
    </row>
    <row r="73" spans="1:6" ht="14.4" thickBot="1" x14ac:dyDescent="0.35">
      <c r="D73" s="307"/>
      <c r="E73" s="216"/>
      <c r="F73" s="216"/>
    </row>
    <row r="74" spans="1:6" ht="21.6" thickBot="1" x14ac:dyDescent="0.35">
      <c r="A74" s="276" t="s">
        <v>671</v>
      </c>
      <c r="B74" s="277"/>
      <c r="C74" s="278"/>
      <c r="D74" s="308">
        <f>D25+D30+D40+D47+D49+D55+D61+D65+D72</f>
        <v>0</v>
      </c>
      <c r="E74" s="317"/>
      <c r="F74" s="309">
        <f>F25+F30+F40+F47+F49+F55+F61+F65+F72</f>
        <v>0</v>
      </c>
    </row>
  </sheetData>
  <sheetProtection password="EE20" sheet="1" objects="1" scenarios="1"/>
  <mergeCells count="8">
    <mergeCell ref="A12:B12"/>
    <mergeCell ref="A16:B16"/>
    <mergeCell ref="A4:B4"/>
    <mergeCell ref="A5:B5"/>
    <mergeCell ref="A6:B6"/>
    <mergeCell ref="A7:B7"/>
    <mergeCell ref="A10:B10"/>
    <mergeCell ref="A11:B11"/>
  </mergeCells>
  <dataValidations count="1">
    <dataValidation type="list" allowBlank="1" showInputMessage="1" showErrorMessage="1" sqref="E32:E39 E20:E24 E51:E54 E42:E46 E27:E29 E48 E57:E60 E63:E64 E67:E71">
      <formula1>$C$10:$C$16</formula1>
    </dataValidation>
  </dataValidations>
  <pageMargins left="0.51181102362204722" right="0.51181102362204722" top="1.0629921259842521" bottom="0.78740157480314965" header="0.31496062992125984" footer="0.31496062992125984"/>
  <pageSetup paperSize="9" scale="69" orientation="portrait" r:id="rId1"/>
  <headerFooter>
    <oddHeader>&amp;R&amp;G</oddHeader>
    <oddFooter>&amp;C&amp;P</oddFooter>
  </headerFooter>
  <drawing r:id="rId2"/>
  <legacyDrawing r:id="rId3"/>
  <legacyDrawingHF r:id="rId4"/>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13</vt:i4>
      </vt:variant>
      <vt:variant>
        <vt:lpstr>Benannte Bereiche</vt:lpstr>
      </vt:variant>
      <vt:variant>
        <vt:i4>18</vt:i4>
      </vt:variant>
    </vt:vector>
  </HeadingPairs>
  <TitlesOfParts>
    <vt:vector size="31" baseType="lpstr">
      <vt:lpstr>Cover sheet</vt:lpstr>
      <vt:lpstr>Hardware</vt:lpstr>
      <vt:lpstr>Software</vt:lpstr>
      <vt:lpstr>Wireless</vt:lpstr>
      <vt:lpstr>Warranty</vt:lpstr>
      <vt:lpstr>HW Maintenance</vt:lpstr>
      <vt:lpstr>Estos_XCAPI</vt:lpstr>
      <vt:lpstr>Overview</vt:lpstr>
      <vt:lpstr>Customer Offer</vt:lpstr>
      <vt:lpstr>Marge Reseller</vt:lpstr>
      <vt:lpstr>Print View total</vt:lpstr>
      <vt:lpstr>Maintenance agreement</vt:lpstr>
      <vt:lpstr>Tabelle1</vt:lpstr>
      <vt:lpstr>'Customer Offer'!Druckbereich</vt:lpstr>
      <vt:lpstr>Estos_XCAPI!Druckbereich</vt:lpstr>
      <vt:lpstr>Hardware!Druckbereich</vt:lpstr>
      <vt:lpstr>'HW Maintenance'!Druckbereich</vt:lpstr>
      <vt:lpstr>'Marge Reseller'!Druckbereich</vt:lpstr>
      <vt:lpstr>Overview!Druckbereich</vt:lpstr>
      <vt:lpstr>'Print View total'!Druckbereich</vt:lpstr>
      <vt:lpstr>Software!Druckbereich</vt:lpstr>
      <vt:lpstr>Warranty!Druckbereich</vt:lpstr>
      <vt:lpstr>Wireless!Druckbereich</vt:lpstr>
      <vt:lpstr>'Customer Offer'!Drucktitel</vt:lpstr>
      <vt:lpstr>Hardware!Drucktitel</vt:lpstr>
      <vt:lpstr>'HW Maintenance'!Drucktitel</vt:lpstr>
      <vt:lpstr>'Marge Reseller'!Drucktitel</vt:lpstr>
      <vt:lpstr>'Print View total'!Drucktitel</vt:lpstr>
      <vt:lpstr>Software!Drucktitel</vt:lpstr>
      <vt:lpstr>Warranty!Drucktitel</vt:lpstr>
      <vt:lpstr>Wireless!Drucktitel</vt:lpstr>
    </vt:vector>
  </TitlesOfParts>
  <Company>innovaphone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Philipp Truckenmüller</dc:creator>
  <cp:lastModifiedBy>Philipp Truckenmüller</cp:lastModifiedBy>
  <cp:lastPrinted>2016-08-18T09:49:15Z</cp:lastPrinted>
  <dcterms:created xsi:type="dcterms:W3CDTF">2007-03-08T08:16:35Z</dcterms:created>
  <dcterms:modified xsi:type="dcterms:W3CDTF">2017-03-01T14:30:24Z</dcterms:modified>
</cp:coreProperties>
</file>